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USUARIO\ANSELMO\Recaudacion Federal\PC PACO\Anselmo OK\Presupuesto 2026\con pestaña de datos oculta\Publicacion OK\"/>
    </mc:Choice>
  </mc:AlternateContent>
  <bookViews>
    <workbookView xWindow="0" yWindow="0" windowWidth="28800" windowHeight="11775"/>
  </bookViews>
  <sheets>
    <sheet name="CUADRO 1 - CENSO 2020" sheetId="11" r:id="rId1"/>
    <sheet name="CUADRO 2 -Predial y Agua" sheetId="1" r:id="rId2"/>
    <sheet name="CUADRO 3 -IEPS 2014 " sheetId="21" r:id="rId3"/>
    <sheet name="CUADRO 4 - CALENDARIO 2026" sheetId="23" r:id="rId4"/>
    <sheet name="CUADRO 5- Consolidado" sheetId="3" r:id="rId5"/>
    <sheet name="CUADRO 6 -FGP" sheetId="4" r:id="rId6"/>
    <sheet name="CUADRO 7 FFM" sheetId="5" r:id="rId7"/>
    <sheet name="CUADRO 8- IEPS TyA" sheetId="20" r:id="rId8"/>
    <sheet name="CUADRO 9 IEPS GyD " sheetId="7" r:id="rId9"/>
    <sheet name="CUADRO10 -FOFIR" sheetId="8" r:id="rId10"/>
    <sheet name=" CUADRO 11- FOCO" sheetId="73" r:id="rId11"/>
    <sheet name="CUADRO 12- FOCO ISAN" sheetId="13" r:id="rId12"/>
    <sheet name="CUADRO 13- Incentivo ISAN" sheetId="14" r:id="rId13"/>
    <sheet name="CUADRO 14 ISR Enaje" sheetId="65" r:id="rId14"/>
    <sheet name="FOCO ISAN (2)" sheetId="32" state="veryHidden" r:id="rId15"/>
    <sheet name=" FOCO INCREMENTO" sheetId="35" state="veryHidden" r:id="rId16"/>
    <sheet name=" FOCO ESTIMACION" sheetId="36" state="veryHidden" r:id="rId17"/>
    <sheet name="CUADRO 15- F.G.P. 2026" sheetId="50" r:id="rId18"/>
    <sheet name="CUADRO 16- F.F.M.2026" sheetId="46" r:id="rId19"/>
    <sheet name="CUADRO 17 IEPS 2026" sheetId="43" r:id="rId20"/>
    <sheet name="CUADRO 18- IEPSGAS2026" sheetId="40" r:id="rId21"/>
    <sheet name="CUADRO 19- FOFIR2026" sheetId="37" r:id="rId22"/>
    <sheet name="CUADRO 20- FOCO 2026" sheetId="58" r:id="rId23"/>
    <sheet name="CUADRO 21- ISR 2026" sheetId="67" r:id="rId24"/>
    <sheet name="CUADRO 22- FOCO ISAN 2026 " sheetId="62" r:id="rId25"/>
    <sheet name="CUADRO 23- ISAN 2026" sheetId="33" r:id="rId26"/>
    <sheet name="CUADRO 24- ISR EJANE 2026" sheetId="68" r:id="rId27"/>
    <sheet name="FOFIR  INCREMENTO" sheetId="38" state="veryHidden" r:id="rId28"/>
    <sheet name="FOFIR ESTIMACIONES" sheetId="39" state="veryHidden" r:id="rId29"/>
    <sheet name="IEPSGASINCREMENTO" sheetId="41" state="veryHidden" r:id="rId30"/>
    <sheet name="IEPSGAS ESTIMACIONES" sheetId="42" state="veryHidden" r:id="rId31"/>
    <sheet name="IEPS INCREMENTO" sheetId="44" state="veryHidden" r:id="rId32"/>
    <sheet name="IEPS ESTIMACIONES" sheetId="45" state="veryHidden" r:id="rId33"/>
    <sheet name="IEPS2020 (2)" sheetId="59" state="hidden" r:id="rId34"/>
    <sheet name="F.F.M30%" sheetId="47" state="veryHidden" r:id="rId35"/>
    <sheet name="F.F.M.70%" sheetId="48" state="veryHidden" r:id="rId36"/>
    <sheet name="F.F.M.ESTIIMACIONES 2014" sheetId="49" state="veryHidden" r:id="rId37"/>
    <sheet name="F.G.P.INCREMENTO" sheetId="51" state="veryHidden" r:id="rId38"/>
    <sheet name="F.G.P. ESTIMACIONES 2014" sheetId="52" state="veryHidden" r:id="rId39"/>
    <sheet name="F.G.P. 2020 (2)" sheetId="56" state="veryHidden" r:id="rId40"/>
    <sheet name="F.F.M.2020 (2)" sheetId="57" state="veryHidden" r:id="rId41"/>
    <sheet name="IEPSGAS 2020 (2)" sheetId="60" state="veryHidden" r:id="rId42"/>
    <sheet name="FOFIR 2020 (2)" sheetId="61" state="veryHidden" r:id="rId43"/>
    <sheet name="ISAN Recaudacion (2)" sheetId="63" state="hidden" r:id="rId44"/>
    <sheet name="ISR" sheetId="72" state="veryHidden" r:id="rId45"/>
    <sheet name="ENAJENACION" sheetId="70" state="veryHidden" r:id="rId46"/>
    <sheet name="Datos" sheetId="15" state="veryHidden" r:id="rId47"/>
    <sheet name="X22.55 POE" sheetId="66" state="veryHidden" r:id="rId48"/>
    <sheet name="X22.55 DOF" sheetId="71" state="veryHidden" r:id="rId49"/>
    <sheet name="FGP 30%" sheetId="18" state="veryHidden" r:id="rId50"/>
    <sheet name="FGP 10%" sheetId="19" state="veryHidden" r:id="rId51"/>
  </sheets>
  <externalReferences>
    <externalReference r:id="rId52"/>
    <externalReference r:id="rId53"/>
    <externalReference r:id="rId54"/>
    <externalReference r:id="rId55"/>
    <externalReference r:id="rId56"/>
    <externalReference r:id="rId57"/>
  </externalReferences>
  <definedNames>
    <definedName name="_xlnm.Print_Area" localSheetId="0">'CUADRO 1 - CENSO 2020'!$B$2:$C$33</definedName>
    <definedName name="_xlnm.Print_Area" localSheetId="11">'CUADRO 12- FOCO ISAN'!$B$1:$I$28</definedName>
    <definedName name="_xlnm.Print_Area" localSheetId="12">'CUADRO 13- Incentivo ISAN'!$B$1:$K$28</definedName>
    <definedName name="_xlnm.Print_Area" localSheetId="13">'CUADRO 14 ISR Enaje'!$B$1:$S$33</definedName>
    <definedName name="_xlnm.Print_Area" localSheetId="17">'CUADRO 15- F.G.P. 2026'!$A$1:$O$25</definedName>
    <definedName name="_xlnm.Print_Area" localSheetId="18">'CUADRO 16- F.F.M.2026'!$A$1:$O$25</definedName>
    <definedName name="_xlnm.Print_Area" localSheetId="19">'CUADRO 17 IEPS 2026'!$A$1:$O$27</definedName>
    <definedName name="_xlnm.Print_Area" localSheetId="20">'CUADRO 18- IEPSGAS2026'!$A$1:$O$25</definedName>
    <definedName name="_xlnm.Print_Area" localSheetId="21">'CUADRO 19- FOFIR2026'!$A$1:$N$25</definedName>
    <definedName name="_xlnm.Print_Area" localSheetId="1">'CUADRO 2 -Predial y Agua'!$A$1:$G$26</definedName>
    <definedName name="_xlnm.Print_Area" localSheetId="23">'CUADRO 21- ISR 2026'!$A$1:$O$25</definedName>
    <definedName name="_xlnm.Print_Area" localSheetId="24">'CUADRO 22- FOCO ISAN 2026 '!$A$1:$O$25</definedName>
    <definedName name="_xlnm.Print_Area" localSheetId="25">'CUADRO 23- ISAN 2026'!$A$1:$O$25</definedName>
    <definedName name="_xlnm.Print_Area" localSheetId="26">'CUADRO 24- ISR EJANE 2026'!$A$1:$O$25</definedName>
    <definedName name="_xlnm.Print_Area" localSheetId="2">'CUADRO 3 -IEPS 2014 '!$A$1:$O$31</definedName>
    <definedName name="_xlnm.Print_Area" localSheetId="3">'CUADRO 4 - CALENDARIO 2026'!$A$1:$G$46</definedName>
    <definedName name="_xlnm.Print_Area" localSheetId="7">'CUADRO 8- IEPS TyA'!$B$1:$G$29</definedName>
    <definedName name="_xlnm.Print_Area" localSheetId="8">'CUADRO 9 IEPS GyD '!$B$1:$E$30</definedName>
    <definedName name="_xlnm.Print_Area" localSheetId="9">'CUADRO10 -FOFIR'!$B$1:$K$33</definedName>
    <definedName name="_xlnm.Print_Area" localSheetId="46">Datos!$B$2:$K$67</definedName>
    <definedName name="_xlnm.Print_Area" localSheetId="44">ISR!$A$1:$P$24</definedName>
    <definedName name="_xlnm.Print_Area" localSheetId="48">'X22.55 DOF'!$A$5:$M$109</definedName>
    <definedName name="_xlnm.Print_Area" localSheetId="47">'X22.55 POE'!$A$104:$M$132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5" l="1"/>
  <c r="K41" i="15" l="1"/>
  <c r="J29" i="73" s="1"/>
  <c r="AJ10" i="3" l="1"/>
  <c r="AJ11" i="3"/>
  <c r="AJ12" i="3"/>
  <c r="AJ13" i="3"/>
  <c r="AJ14" i="3"/>
  <c r="AJ15" i="3"/>
  <c r="AJ16" i="3"/>
  <c r="AJ17" i="3"/>
  <c r="AJ18" i="3"/>
  <c r="AJ19" i="3"/>
  <c r="AJ20" i="3"/>
  <c r="AJ21" i="3"/>
  <c r="AJ22" i="3"/>
  <c r="AJ23" i="3"/>
  <c r="AJ24" i="3"/>
  <c r="AJ25" i="3"/>
  <c r="AJ26" i="3"/>
  <c r="AJ27" i="3"/>
  <c r="AJ28" i="3"/>
  <c r="AJ9" i="3"/>
  <c r="K78" i="15" l="1"/>
  <c r="K69" i="15"/>
  <c r="K44" i="15" l="1"/>
  <c r="K79" i="15" l="1"/>
  <c r="I81" i="15" s="1"/>
  <c r="K70" i="15"/>
  <c r="I74" i="15" s="1"/>
  <c r="I82" i="15" l="1"/>
  <c r="I83" i="15"/>
  <c r="I85" i="15"/>
  <c r="I72" i="15"/>
  <c r="I73" i="15"/>
  <c r="I76" i="15" l="1"/>
  <c r="P23" i="72" l="1"/>
  <c r="P22" i="72"/>
  <c r="P21" i="72"/>
  <c r="P20" i="72"/>
  <c r="P19" i="72"/>
  <c r="P18" i="72"/>
  <c r="P17" i="72"/>
  <c r="P16" i="72"/>
  <c r="P15" i="72"/>
  <c r="P14" i="72"/>
  <c r="P13" i="72"/>
  <c r="P12" i="72"/>
  <c r="P11" i="72"/>
  <c r="P10" i="72"/>
  <c r="P9" i="72"/>
  <c r="P8" i="72"/>
  <c r="P6" i="72"/>
  <c r="P5" i="72"/>
  <c r="P4" i="72"/>
  <c r="D27" i="45" l="1"/>
  <c r="E27" i="45"/>
  <c r="F27" i="45"/>
  <c r="G27" i="45"/>
  <c r="H27" i="45"/>
  <c r="I27" i="45"/>
  <c r="J27" i="45"/>
  <c r="K27" i="45"/>
  <c r="L27" i="45"/>
  <c r="M27" i="45"/>
  <c r="N27" i="45"/>
  <c r="C27" i="45"/>
  <c r="B12" i="71" l="1"/>
  <c r="A10" i="71" l="1"/>
  <c r="D25" i="1" l="1"/>
  <c r="D24" i="1"/>
  <c r="D23" i="1"/>
  <c r="D22" i="1"/>
  <c r="D21" i="1"/>
  <c r="D20" i="1"/>
  <c r="D19" i="1"/>
  <c r="D18" i="1"/>
  <c r="D17" i="1"/>
  <c r="D16" i="1"/>
  <c r="D15" i="1"/>
  <c r="D14" i="1"/>
  <c r="D13" i="1"/>
  <c r="D12" i="1"/>
  <c r="D11" i="1"/>
  <c r="D10" i="1"/>
  <c r="D9" i="1"/>
  <c r="D8" i="1"/>
  <c r="D7" i="1"/>
  <c r="D6" i="1"/>
  <c r="V28" i="65" l="1"/>
  <c r="D27" i="36" l="1"/>
  <c r="E27" i="36"/>
  <c r="F27" i="36"/>
  <c r="G27" i="36"/>
  <c r="H27" i="36"/>
  <c r="I27" i="36"/>
  <c r="J27" i="36"/>
  <c r="K27" i="36"/>
  <c r="L27" i="36"/>
  <c r="M27" i="36"/>
  <c r="N27" i="36"/>
  <c r="C27" i="36"/>
  <c r="N178" i="66" l="1"/>
  <c r="C9" i="65"/>
  <c r="C10" i="65"/>
  <c r="C11" i="65"/>
  <c r="C12" i="65"/>
  <c r="C13" i="65"/>
  <c r="C14" i="65"/>
  <c r="C15" i="65"/>
  <c r="C16" i="65"/>
  <c r="C17" i="65"/>
  <c r="C18" i="65"/>
  <c r="C19" i="65"/>
  <c r="C20" i="65"/>
  <c r="C21" i="65"/>
  <c r="C22" i="65"/>
  <c r="C23" i="65"/>
  <c r="C24" i="65"/>
  <c r="C25" i="65"/>
  <c r="C26" i="65"/>
  <c r="C27" i="65"/>
  <c r="C8" i="65"/>
  <c r="M113" i="71"/>
  <c r="L113" i="71"/>
  <c r="K113" i="71"/>
  <c r="J113" i="71"/>
  <c r="I113" i="71"/>
  <c r="H113" i="71"/>
  <c r="G113" i="71"/>
  <c r="F113" i="71"/>
  <c r="E113" i="71"/>
  <c r="D113" i="71"/>
  <c r="C113" i="71"/>
  <c r="B113" i="71"/>
  <c r="M108" i="71"/>
  <c r="L108" i="71"/>
  <c r="K108" i="71"/>
  <c r="J108" i="71"/>
  <c r="I108" i="71"/>
  <c r="H108" i="71"/>
  <c r="G108" i="71"/>
  <c r="F108" i="71"/>
  <c r="E108" i="71"/>
  <c r="D108" i="71"/>
  <c r="C108" i="71"/>
  <c r="B108" i="71"/>
  <c r="N106" i="71"/>
  <c r="A106" i="71"/>
  <c r="K104" i="71" s="1"/>
  <c r="K127" i="66" s="1"/>
  <c r="I104" i="71"/>
  <c r="I127" i="66" s="1"/>
  <c r="M98" i="71"/>
  <c r="L98" i="71"/>
  <c r="K98" i="71"/>
  <c r="J98" i="71"/>
  <c r="I98" i="71"/>
  <c r="H98" i="71"/>
  <c r="G98" i="71"/>
  <c r="F98" i="71"/>
  <c r="E98" i="71"/>
  <c r="D98" i="71"/>
  <c r="C98" i="71"/>
  <c r="B98" i="71"/>
  <c r="N96" i="71"/>
  <c r="A96" i="71"/>
  <c r="A98" i="71" s="1"/>
  <c r="M88" i="71"/>
  <c r="L88" i="71"/>
  <c r="K88" i="71"/>
  <c r="J88" i="71"/>
  <c r="I88" i="71"/>
  <c r="H88" i="71"/>
  <c r="G88" i="71"/>
  <c r="F88" i="71"/>
  <c r="E88" i="71"/>
  <c r="D88" i="71"/>
  <c r="C88" i="71"/>
  <c r="B88" i="71"/>
  <c r="N86" i="71"/>
  <c r="A86" i="71"/>
  <c r="A88" i="71" s="1"/>
  <c r="M78" i="71"/>
  <c r="L78" i="71"/>
  <c r="K78" i="71"/>
  <c r="J78" i="71"/>
  <c r="I78" i="71"/>
  <c r="H78" i="71"/>
  <c r="G78" i="71"/>
  <c r="F78" i="71"/>
  <c r="E78" i="71"/>
  <c r="D78" i="71"/>
  <c r="C78" i="71"/>
  <c r="B78" i="71"/>
  <c r="N76" i="71"/>
  <c r="A76" i="71"/>
  <c r="K74" i="71" s="1"/>
  <c r="K93" i="66" s="1"/>
  <c r="H74" i="71"/>
  <c r="H93" i="66" s="1"/>
  <c r="F74" i="71"/>
  <c r="F93" i="66" s="1"/>
  <c r="B74" i="71"/>
  <c r="B93" i="66" s="1"/>
  <c r="M69" i="71"/>
  <c r="L69" i="71"/>
  <c r="K69" i="71"/>
  <c r="J69" i="71"/>
  <c r="I69" i="71"/>
  <c r="H69" i="71"/>
  <c r="G69" i="71"/>
  <c r="F69" i="71"/>
  <c r="E69" i="71"/>
  <c r="D69" i="71"/>
  <c r="C69" i="71"/>
  <c r="B69" i="71"/>
  <c r="N67" i="71"/>
  <c r="A67" i="71"/>
  <c r="K65" i="71" s="1"/>
  <c r="K81" i="66" s="1"/>
  <c r="M60" i="71"/>
  <c r="L60" i="71"/>
  <c r="K60" i="71"/>
  <c r="J60" i="71"/>
  <c r="I60" i="71"/>
  <c r="H60" i="71"/>
  <c r="G60" i="71"/>
  <c r="F60" i="71"/>
  <c r="E60" i="71"/>
  <c r="D60" i="71"/>
  <c r="C60" i="71"/>
  <c r="B60" i="71"/>
  <c r="N58" i="71"/>
  <c r="A58" i="71"/>
  <c r="K56" i="71" s="1"/>
  <c r="M51" i="71"/>
  <c r="L51" i="71"/>
  <c r="K51" i="71"/>
  <c r="J51" i="71"/>
  <c r="I51" i="71"/>
  <c r="H51" i="71"/>
  <c r="G51" i="71"/>
  <c r="F51" i="71"/>
  <c r="E51" i="71"/>
  <c r="D51" i="71"/>
  <c r="C51" i="71"/>
  <c r="B51" i="71"/>
  <c r="N49" i="71"/>
  <c r="A49" i="71"/>
  <c r="A51" i="71" s="1"/>
  <c r="M42" i="71"/>
  <c r="L42" i="71"/>
  <c r="K42" i="71"/>
  <c r="J42" i="71"/>
  <c r="I42" i="71"/>
  <c r="H42" i="71"/>
  <c r="G42" i="71"/>
  <c r="F42" i="71"/>
  <c r="E42" i="71"/>
  <c r="D42" i="71"/>
  <c r="C42" i="71"/>
  <c r="B42" i="71"/>
  <c r="N40" i="71"/>
  <c r="A40" i="71"/>
  <c r="K38" i="71" s="1"/>
  <c r="K45" i="66" s="1"/>
  <c r="J38" i="71"/>
  <c r="J45" i="66" s="1"/>
  <c r="M33" i="71"/>
  <c r="L33" i="71"/>
  <c r="K33" i="71"/>
  <c r="J33" i="71"/>
  <c r="I33" i="71"/>
  <c r="H33" i="71"/>
  <c r="G33" i="71"/>
  <c r="F33" i="71"/>
  <c r="E33" i="71"/>
  <c r="D33" i="71"/>
  <c r="C33" i="71"/>
  <c r="B33" i="71"/>
  <c r="N31" i="71"/>
  <c r="A31" i="71"/>
  <c r="K29" i="71" s="1"/>
  <c r="K34" i="66" s="1"/>
  <c r="M21" i="71"/>
  <c r="L21" i="71"/>
  <c r="K21" i="71"/>
  <c r="J21" i="71"/>
  <c r="I21" i="71"/>
  <c r="H21" i="71"/>
  <c r="G21" i="71"/>
  <c r="F21" i="71"/>
  <c r="E21" i="71"/>
  <c r="D21" i="71"/>
  <c r="C21" i="71"/>
  <c r="B21" i="71"/>
  <c r="M20" i="71"/>
  <c r="L20" i="71"/>
  <c r="K20" i="71"/>
  <c r="J20" i="71"/>
  <c r="I20" i="71"/>
  <c r="H20" i="71"/>
  <c r="G20" i="71"/>
  <c r="F20" i="71"/>
  <c r="E20" i="71"/>
  <c r="D20" i="71"/>
  <c r="C20" i="71"/>
  <c r="B20" i="71"/>
  <c r="N19" i="71"/>
  <c r="A19" i="71"/>
  <c r="L17" i="71" s="1"/>
  <c r="L20" i="66" s="1"/>
  <c r="M12" i="71"/>
  <c r="L12" i="71"/>
  <c r="K12" i="71"/>
  <c r="J12" i="71"/>
  <c r="I12" i="71"/>
  <c r="H12" i="71"/>
  <c r="G12" i="71"/>
  <c r="F12" i="71"/>
  <c r="E12" i="71"/>
  <c r="D12" i="71"/>
  <c r="C12" i="71"/>
  <c r="A12" i="71"/>
  <c r="N10" i="71"/>
  <c r="M7" i="71"/>
  <c r="M7" i="66" s="1"/>
  <c r="L7" i="71"/>
  <c r="L7" i="66" s="1"/>
  <c r="K7" i="71"/>
  <c r="K7" i="66" s="1"/>
  <c r="J7" i="71"/>
  <c r="J7" i="66" s="1"/>
  <c r="I7" i="71"/>
  <c r="I7" i="66" s="1"/>
  <c r="H7" i="71"/>
  <c r="H7" i="66" s="1"/>
  <c r="G7" i="71"/>
  <c r="G7" i="66" s="1"/>
  <c r="F7" i="71"/>
  <c r="F7" i="66" s="1"/>
  <c r="E7" i="71"/>
  <c r="E7" i="66" s="1"/>
  <c r="D7" i="71"/>
  <c r="D7" i="66" s="1"/>
  <c r="C7" i="71"/>
  <c r="C7" i="66" s="1"/>
  <c r="B7" i="71"/>
  <c r="B7" i="66" s="1"/>
  <c r="J56" i="71" l="1"/>
  <c r="L74" i="71"/>
  <c r="L93" i="66" s="1"/>
  <c r="D38" i="71"/>
  <c r="D45" i="66" s="1"/>
  <c r="B56" i="71"/>
  <c r="D74" i="71"/>
  <c r="D93" i="66" s="1"/>
  <c r="I74" i="71"/>
  <c r="I93" i="66" s="1"/>
  <c r="F56" i="71"/>
  <c r="E74" i="71"/>
  <c r="E93" i="66" s="1"/>
  <c r="J74" i="71"/>
  <c r="J93" i="66" s="1"/>
  <c r="A78" i="71"/>
  <c r="E104" i="71"/>
  <c r="E127" i="66" s="1"/>
  <c r="F104" i="71"/>
  <c r="F127" i="66" s="1"/>
  <c r="M74" i="71"/>
  <c r="M93" i="66" s="1"/>
  <c r="I56" i="71"/>
  <c r="E38" i="71"/>
  <c r="E45" i="66" s="1"/>
  <c r="I38" i="71"/>
  <c r="I45" i="66" s="1"/>
  <c r="L29" i="71"/>
  <c r="L34" i="66" s="1"/>
  <c r="M104" i="71"/>
  <c r="M127" i="66" s="1"/>
  <c r="F84" i="71"/>
  <c r="F106" i="66" s="1"/>
  <c r="E56" i="71"/>
  <c r="M56" i="71"/>
  <c r="N60" i="71"/>
  <c r="F38" i="71"/>
  <c r="F45" i="66" s="1"/>
  <c r="L38" i="71"/>
  <c r="L45" i="66" s="1"/>
  <c r="A42" i="71"/>
  <c r="B38" i="71"/>
  <c r="B45" i="66" s="1"/>
  <c r="H38" i="71"/>
  <c r="H45" i="66" s="1"/>
  <c r="M38" i="71"/>
  <c r="M45" i="66" s="1"/>
  <c r="E29" i="71"/>
  <c r="E34" i="66" s="1"/>
  <c r="N108" i="71"/>
  <c r="B84" i="71"/>
  <c r="B106" i="66" s="1"/>
  <c r="J84" i="71"/>
  <c r="J106" i="66" s="1"/>
  <c r="I84" i="71"/>
  <c r="I106" i="66" s="1"/>
  <c r="E84" i="71"/>
  <c r="E106" i="66" s="1"/>
  <c r="M84" i="71"/>
  <c r="M106" i="66" s="1"/>
  <c r="I29" i="71"/>
  <c r="I34" i="66" s="1"/>
  <c r="F29" i="71"/>
  <c r="F34" i="66" s="1"/>
  <c r="D29" i="71"/>
  <c r="D34" i="66" s="1"/>
  <c r="J29" i="71"/>
  <c r="J34" i="66" s="1"/>
  <c r="A33" i="71"/>
  <c r="N20" i="71"/>
  <c r="N21" i="71"/>
  <c r="C84" i="71"/>
  <c r="C106" i="66" s="1"/>
  <c r="G84" i="71"/>
  <c r="G106" i="66" s="1"/>
  <c r="K84" i="71"/>
  <c r="K106" i="66" s="1"/>
  <c r="D84" i="71"/>
  <c r="D106" i="66" s="1"/>
  <c r="H84" i="71"/>
  <c r="H106" i="66" s="1"/>
  <c r="L84" i="71"/>
  <c r="L106" i="66" s="1"/>
  <c r="B104" i="71"/>
  <c r="B127" i="66" s="1"/>
  <c r="J104" i="71"/>
  <c r="J127" i="66" s="1"/>
  <c r="A108" i="71"/>
  <c r="N98" i="71"/>
  <c r="N88" i="71"/>
  <c r="C74" i="71"/>
  <c r="G74" i="71"/>
  <c r="G93" i="66" s="1"/>
  <c r="N78" i="71"/>
  <c r="D65" i="71"/>
  <c r="D81" i="66" s="1"/>
  <c r="I65" i="71"/>
  <c r="I81" i="66" s="1"/>
  <c r="F65" i="71"/>
  <c r="F81" i="66" s="1"/>
  <c r="L65" i="71"/>
  <c r="L81" i="66" s="1"/>
  <c r="A69" i="71"/>
  <c r="E65" i="71"/>
  <c r="E81" i="66" s="1"/>
  <c r="J65" i="71"/>
  <c r="J81" i="66" s="1"/>
  <c r="C116" i="71"/>
  <c r="G116" i="71"/>
  <c r="B65" i="71"/>
  <c r="B81" i="66" s="1"/>
  <c r="H65" i="71"/>
  <c r="H81" i="66" s="1"/>
  <c r="M65" i="71"/>
  <c r="M81" i="66" s="1"/>
  <c r="N69" i="71"/>
  <c r="N51" i="71"/>
  <c r="K116" i="71"/>
  <c r="N42" i="71"/>
  <c r="B116" i="71"/>
  <c r="F116" i="71"/>
  <c r="J116" i="71"/>
  <c r="C38" i="71"/>
  <c r="G38" i="71"/>
  <c r="G45" i="66" s="1"/>
  <c r="N33" i="71"/>
  <c r="P106" i="71"/>
  <c r="R107" i="71" s="1"/>
  <c r="D116" i="71"/>
  <c r="H116" i="71"/>
  <c r="L116" i="71"/>
  <c r="B29" i="71"/>
  <c r="B34" i="66" s="1"/>
  <c r="H29" i="71"/>
  <c r="H34" i="66" s="1"/>
  <c r="M29" i="71"/>
  <c r="M34" i="66" s="1"/>
  <c r="E116" i="71"/>
  <c r="I116" i="71"/>
  <c r="M116" i="71"/>
  <c r="A113" i="71"/>
  <c r="A114" i="71"/>
  <c r="A7" i="71"/>
  <c r="B17" i="71"/>
  <c r="B20" i="66" s="1"/>
  <c r="J17" i="71"/>
  <c r="J20" i="66" s="1"/>
  <c r="J94" i="71"/>
  <c r="J117" i="66" s="1"/>
  <c r="K17" i="71"/>
  <c r="K20" i="66" s="1"/>
  <c r="K47" i="71"/>
  <c r="K57" i="66" s="1"/>
  <c r="E17" i="71"/>
  <c r="E20" i="66" s="1"/>
  <c r="I17" i="71"/>
  <c r="I20" i="66" s="1"/>
  <c r="M17" i="71"/>
  <c r="M20" i="66" s="1"/>
  <c r="C29" i="71"/>
  <c r="C34" i="66" s="1"/>
  <c r="G29" i="71"/>
  <c r="G34" i="66" s="1"/>
  <c r="E47" i="71"/>
  <c r="E57" i="66" s="1"/>
  <c r="I47" i="71"/>
  <c r="I57" i="66" s="1"/>
  <c r="M47" i="71"/>
  <c r="M57" i="66" s="1"/>
  <c r="D56" i="71"/>
  <c r="H56" i="71"/>
  <c r="L56" i="71"/>
  <c r="A60" i="71"/>
  <c r="C65" i="71"/>
  <c r="G65" i="71"/>
  <c r="G81" i="66" s="1"/>
  <c r="E94" i="71"/>
  <c r="E117" i="66" s="1"/>
  <c r="I94" i="71"/>
  <c r="I117" i="66" s="1"/>
  <c r="M94" i="71"/>
  <c r="M117" i="66" s="1"/>
  <c r="D104" i="71"/>
  <c r="D127" i="66" s="1"/>
  <c r="H104" i="71"/>
  <c r="H127" i="66" s="1"/>
  <c r="L104" i="71"/>
  <c r="L127" i="66" s="1"/>
  <c r="F17" i="71"/>
  <c r="F20" i="66" s="1"/>
  <c r="F47" i="71"/>
  <c r="F57" i="66" s="1"/>
  <c r="B94" i="71"/>
  <c r="B117" i="66" s="1"/>
  <c r="F94" i="71"/>
  <c r="F117" i="66" s="1"/>
  <c r="G17" i="71"/>
  <c r="G20" i="66" s="1"/>
  <c r="C47" i="71"/>
  <c r="C57" i="66" s="1"/>
  <c r="G47" i="71"/>
  <c r="G57" i="66" s="1"/>
  <c r="C94" i="71"/>
  <c r="C117" i="66" s="1"/>
  <c r="G94" i="71"/>
  <c r="G117" i="66" s="1"/>
  <c r="K94" i="71"/>
  <c r="K117" i="66" s="1"/>
  <c r="B47" i="71"/>
  <c r="B57" i="66" s="1"/>
  <c r="J47" i="71"/>
  <c r="J57" i="66" s="1"/>
  <c r="C17" i="71"/>
  <c r="C20" i="66" s="1"/>
  <c r="N12" i="71"/>
  <c r="D17" i="71"/>
  <c r="D20" i="66" s="1"/>
  <c r="H17" i="71"/>
  <c r="H20" i="66" s="1"/>
  <c r="D47" i="71"/>
  <c r="D57" i="66" s="1"/>
  <c r="H47" i="71"/>
  <c r="H57" i="66" s="1"/>
  <c r="L47" i="71"/>
  <c r="L57" i="66" s="1"/>
  <c r="C56" i="71"/>
  <c r="G56" i="71"/>
  <c r="D94" i="71"/>
  <c r="D117" i="66" s="1"/>
  <c r="H94" i="71"/>
  <c r="H117" i="66" s="1"/>
  <c r="L94" i="71"/>
  <c r="L117" i="66" s="1"/>
  <c r="C104" i="71"/>
  <c r="G104" i="71"/>
  <c r="G127" i="66" s="1"/>
  <c r="N22" i="71" l="1"/>
  <c r="A116" i="71"/>
  <c r="A118" i="71" s="1"/>
  <c r="A104" i="71"/>
  <c r="C127" i="66"/>
  <c r="A74" i="71"/>
  <c r="C93" i="66"/>
  <c r="A65" i="71"/>
  <c r="C81" i="66"/>
  <c r="A38" i="71"/>
  <c r="C45" i="66"/>
  <c r="P108" i="71"/>
  <c r="A56" i="71"/>
  <c r="A29" i="71"/>
  <c r="A17" i="71"/>
  <c r="A94" i="71"/>
  <c r="A47" i="71"/>
  <c r="M176" i="66" l="1"/>
  <c r="M180" i="66" s="1"/>
  <c r="L176" i="66"/>
  <c r="L180" i="66" s="1"/>
  <c r="K176" i="66"/>
  <c r="K180" i="66" s="1"/>
  <c r="J176" i="66"/>
  <c r="J180" i="66" s="1"/>
  <c r="I176" i="66"/>
  <c r="I180" i="66" s="1"/>
  <c r="H176" i="66"/>
  <c r="H180" i="66" s="1"/>
  <c r="G176" i="66"/>
  <c r="G180" i="66" s="1"/>
  <c r="F176" i="66"/>
  <c r="F180" i="66" s="1"/>
  <c r="E176" i="66"/>
  <c r="E180" i="66" s="1"/>
  <c r="D176" i="66"/>
  <c r="D180" i="66" s="1"/>
  <c r="C176" i="66"/>
  <c r="C180" i="66" s="1"/>
  <c r="B176" i="66"/>
  <c r="B180" i="66" l="1"/>
  <c r="A176" i="66"/>
  <c r="N180" i="66" l="1"/>
  <c r="O27" i="70"/>
  <c r="N27" i="70"/>
  <c r="M27" i="70"/>
  <c r="L27" i="70"/>
  <c r="K27" i="70"/>
  <c r="J27" i="70"/>
  <c r="I27" i="70"/>
  <c r="H27" i="70"/>
  <c r="G27" i="70"/>
  <c r="F27" i="70"/>
  <c r="E27" i="70"/>
  <c r="D27" i="70"/>
  <c r="C27" i="70"/>
  <c r="P26" i="70"/>
  <c r="P25" i="70"/>
  <c r="P24" i="70"/>
  <c r="P23" i="70"/>
  <c r="P22" i="70"/>
  <c r="P21" i="70"/>
  <c r="P20" i="70"/>
  <c r="P19" i="70"/>
  <c r="P18" i="70"/>
  <c r="P17" i="70"/>
  <c r="P16" i="70"/>
  <c r="P15" i="70"/>
  <c r="P14" i="70"/>
  <c r="P13" i="70"/>
  <c r="P12" i="70"/>
  <c r="P11" i="70"/>
  <c r="P10" i="70"/>
  <c r="P9" i="70"/>
  <c r="P8" i="70"/>
  <c r="P7" i="70"/>
  <c r="R25" i="70" l="1"/>
  <c r="R18" i="70"/>
  <c r="P27" i="70"/>
  <c r="R10" i="70" s="1"/>
  <c r="R7" i="70"/>
  <c r="R15" i="70"/>
  <c r="E181" i="66"/>
  <c r="E182" i="66" s="1"/>
  <c r="I181" i="66"/>
  <c r="I182" i="66" s="1"/>
  <c r="M181" i="66"/>
  <c r="M182" i="66" s="1"/>
  <c r="D181" i="66"/>
  <c r="D182" i="66" s="1"/>
  <c r="J181" i="66"/>
  <c r="J182" i="66" s="1"/>
  <c r="C181" i="66"/>
  <c r="C182" i="66" s="1"/>
  <c r="H181" i="66"/>
  <c r="H182" i="66" s="1"/>
  <c r="G181" i="66"/>
  <c r="G182" i="66" s="1"/>
  <c r="L181" i="66"/>
  <c r="L182" i="66" s="1"/>
  <c r="K181" i="66"/>
  <c r="K182" i="66" s="1"/>
  <c r="F181" i="66"/>
  <c r="F182" i="66" s="1"/>
  <c r="B181" i="66"/>
  <c r="B182" i="66" s="1"/>
  <c r="R16" i="70" l="1"/>
  <c r="R8" i="70"/>
  <c r="R13" i="70"/>
  <c r="R11" i="70"/>
  <c r="R9" i="70"/>
  <c r="R22" i="70"/>
  <c r="R21" i="70"/>
  <c r="R24" i="70"/>
  <c r="R23" i="70"/>
  <c r="R14" i="70"/>
  <c r="R12" i="70"/>
  <c r="R26" i="70"/>
  <c r="R17" i="70"/>
  <c r="R20" i="70"/>
  <c r="R19" i="70"/>
  <c r="D31" i="41"/>
  <c r="E31" i="41"/>
  <c r="F31" i="41"/>
  <c r="G31" i="41"/>
  <c r="H31" i="41"/>
  <c r="I31" i="41"/>
  <c r="J31" i="41"/>
  <c r="K31" i="41"/>
  <c r="L31" i="41"/>
  <c r="M31" i="41"/>
  <c r="N31" i="41"/>
  <c r="C31" i="41"/>
  <c r="F27" i="42"/>
  <c r="F11" i="42" s="1"/>
  <c r="D27" i="42"/>
  <c r="D10" i="42" s="1"/>
  <c r="E27" i="42"/>
  <c r="E10" i="42" s="1"/>
  <c r="G27" i="42"/>
  <c r="G11" i="42" s="1"/>
  <c r="H27" i="42"/>
  <c r="H11" i="42" s="1"/>
  <c r="I27" i="42"/>
  <c r="I11" i="42" s="1"/>
  <c r="J27" i="42"/>
  <c r="J11" i="42" s="1"/>
  <c r="K27" i="42"/>
  <c r="K11" i="42" s="1"/>
  <c r="L27" i="42"/>
  <c r="L11" i="42" s="1"/>
  <c r="M27" i="42"/>
  <c r="M11" i="42" s="1"/>
  <c r="N27" i="42"/>
  <c r="N11" i="42" s="1"/>
  <c r="C27" i="42"/>
  <c r="C10" i="42" s="1"/>
  <c r="R27" i="70" l="1"/>
  <c r="L25" i="42"/>
  <c r="F25" i="42"/>
  <c r="E12" i="42"/>
  <c r="J17" i="42"/>
  <c r="N20" i="42"/>
  <c r="H21" i="42"/>
  <c r="J25" i="42"/>
  <c r="L9" i="42"/>
  <c r="E20" i="42"/>
  <c r="F9" i="42"/>
  <c r="J9" i="42"/>
  <c r="N12" i="42"/>
  <c r="C16" i="42"/>
  <c r="G20" i="42"/>
  <c r="C7" i="42"/>
  <c r="C19" i="42"/>
  <c r="C11" i="42"/>
  <c r="E23" i="42"/>
  <c r="E15" i="42"/>
  <c r="F13" i="42"/>
  <c r="G21" i="42"/>
  <c r="G13" i="42"/>
  <c r="H25" i="42"/>
  <c r="H9" i="42"/>
  <c r="J20" i="42"/>
  <c r="J12" i="42"/>
  <c r="K24" i="42"/>
  <c r="K16" i="42"/>
  <c r="K8" i="42"/>
  <c r="L13" i="42"/>
  <c r="N21" i="42"/>
  <c r="N13" i="42"/>
  <c r="K13" i="42"/>
  <c r="C23" i="42"/>
  <c r="C15" i="42"/>
  <c r="E7" i="42"/>
  <c r="E19" i="42"/>
  <c r="E11" i="42"/>
  <c r="F21" i="42"/>
  <c r="G25" i="42"/>
  <c r="G17" i="42"/>
  <c r="G9" i="42"/>
  <c r="H17" i="42"/>
  <c r="J24" i="42"/>
  <c r="J16" i="42"/>
  <c r="J8" i="42"/>
  <c r="K20" i="42"/>
  <c r="K12" i="42"/>
  <c r="L21" i="42"/>
  <c r="N25" i="42"/>
  <c r="N17" i="42"/>
  <c r="N9" i="42"/>
  <c r="C24" i="42"/>
  <c r="C8" i="42"/>
  <c r="G12" i="42"/>
  <c r="K21" i="42"/>
  <c r="C20" i="42"/>
  <c r="C12" i="42"/>
  <c r="E24" i="42"/>
  <c r="E16" i="42"/>
  <c r="E8" i="42"/>
  <c r="F17" i="42"/>
  <c r="G24" i="42"/>
  <c r="G16" i="42"/>
  <c r="G8" i="42"/>
  <c r="H13" i="42"/>
  <c r="J21" i="42"/>
  <c r="J13" i="42"/>
  <c r="K25" i="42"/>
  <c r="K17" i="42"/>
  <c r="K9" i="42"/>
  <c r="L17" i="42"/>
  <c r="N24" i="42"/>
  <c r="N16" i="42"/>
  <c r="D20" i="42"/>
  <c r="D12" i="42"/>
  <c r="I25" i="42"/>
  <c r="I13" i="42"/>
  <c r="M25" i="42"/>
  <c r="M13" i="42"/>
  <c r="D23" i="42"/>
  <c r="F24" i="42"/>
  <c r="F12" i="42"/>
  <c r="H20" i="42"/>
  <c r="H8" i="42"/>
  <c r="I20" i="42"/>
  <c r="I8" i="42"/>
  <c r="L16" i="42"/>
  <c r="M24" i="42"/>
  <c r="C25" i="42"/>
  <c r="C21" i="42"/>
  <c r="C17" i="42"/>
  <c r="C13" i="42"/>
  <c r="C9" i="42"/>
  <c r="D25" i="42"/>
  <c r="D21" i="42"/>
  <c r="D17" i="42"/>
  <c r="D13" i="42"/>
  <c r="D9" i="42"/>
  <c r="E25" i="42"/>
  <c r="E21" i="42"/>
  <c r="E17" i="42"/>
  <c r="E13" i="42"/>
  <c r="E9" i="42"/>
  <c r="F26" i="42"/>
  <c r="F22" i="42"/>
  <c r="F18" i="42"/>
  <c r="F14" i="42"/>
  <c r="F10" i="42"/>
  <c r="G26" i="42"/>
  <c r="G22" i="42"/>
  <c r="G18" i="42"/>
  <c r="G14" i="42"/>
  <c r="G10" i="42"/>
  <c r="H26" i="42"/>
  <c r="H22" i="42"/>
  <c r="H18" i="42"/>
  <c r="H14" i="42"/>
  <c r="H10" i="42"/>
  <c r="I26" i="42"/>
  <c r="I22" i="42"/>
  <c r="I18" i="42"/>
  <c r="I14" i="42"/>
  <c r="I10" i="42"/>
  <c r="J26" i="42"/>
  <c r="J22" i="42"/>
  <c r="J18" i="42"/>
  <c r="J14" i="42"/>
  <c r="J10" i="42"/>
  <c r="K26" i="42"/>
  <c r="K22" i="42"/>
  <c r="K18" i="42"/>
  <c r="K14" i="42"/>
  <c r="K10" i="42"/>
  <c r="L26" i="42"/>
  <c r="L22" i="42"/>
  <c r="L18" i="42"/>
  <c r="L14" i="42"/>
  <c r="L10" i="42"/>
  <c r="M26" i="42"/>
  <c r="M22" i="42"/>
  <c r="M18" i="42"/>
  <c r="M14" i="42"/>
  <c r="M10" i="42"/>
  <c r="N26" i="42"/>
  <c r="N22" i="42"/>
  <c r="N18" i="42"/>
  <c r="N14" i="42"/>
  <c r="N10" i="42"/>
  <c r="D24" i="42"/>
  <c r="D8" i="42"/>
  <c r="I21" i="42"/>
  <c r="I9" i="42"/>
  <c r="M17" i="42"/>
  <c r="M9" i="42"/>
  <c r="D15" i="42"/>
  <c r="F16" i="42"/>
  <c r="H12" i="42"/>
  <c r="I12" i="42"/>
  <c r="L20" i="42"/>
  <c r="L8" i="42"/>
  <c r="M16" i="42"/>
  <c r="M12" i="42"/>
  <c r="M8" i="42"/>
  <c r="N8" i="42"/>
  <c r="D16" i="42"/>
  <c r="I17" i="42"/>
  <c r="M21" i="42"/>
  <c r="D7" i="42"/>
  <c r="D19" i="42"/>
  <c r="D11" i="42"/>
  <c r="F20" i="42"/>
  <c r="F8" i="42"/>
  <c r="H24" i="42"/>
  <c r="H16" i="42"/>
  <c r="I24" i="42"/>
  <c r="I16" i="42"/>
  <c r="L24" i="42"/>
  <c r="L12" i="42"/>
  <c r="M20" i="42"/>
  <c r="C26" i="42"/>
  <c r="C22" i="42"/>
  <c r="C18" i="42"/>
  <c r="C14" i="42"/>
  <c r="D26" i="42"/>
  <c r="D22" i="42"/>
  <c r="D18" i="42"/>
  <c r="D14" i="42"/>
  <c r="E26" i="42"/>
  <c r="E22" i="42"/>
  <c r="E18" i="42"/>
  <c r="E14" i="42"/>
  <c r="F7" i="42"/>
  <c r="F23" i="42"/>
  <c r="F19" i="42"/>
  <c r="F15" i="42"/>
  <c r="G7" i="42"/>
  <c r="G23" i="42"/>
  <c r="G19" i="42"/>
  <c r="G15" i="42"/>
  <c r="H7" i="42"/>
  <c r="H23" i="42"/>
  <c r="H19" i="42"/>
  <c r="H15" i="42"/>
  <c r="I7" i="42"/>
  <c r="I23" i="42"/>
  <c r="I19" i="42"/>
  <c r="I15" i="42"/>
  <c r="J7" i="42"/>
  <c r="J23" i="42"/>
  <c r="J19" i="42"/>
  <c r="J15" i="42"/>
  <c r="K7" i="42"/>
  <c r="K23" i="42"/>
  <c r="K19" i="42"/>
  <c r="K15" i="42"/>
  <c r="L7" i="42"/>
  <c r="L23" i="42"/>
  <c r="L19" i="42"/>
  <c r="L15" i="42"/>
  <c r="M7" i="42"/>
  <c r="M23" i="42"/>
  <c r="M19" i="42"/>
  <c r="M15" i="42"/>
  <c r="N7" i="42"/>
  <c r="N23" i="42"/>
  <c r="N19" i="42"/>
  <c r="N15" i="42"/>
  <c r="D32" i="45"/>
  <c r="E32" i="45"/>
  <c r="F32" i="45"/>
  <c r="G32" i="45"/>
  <c r="H32" i="45"/>
  <c r="I32" i="45"/>
  <c r="J32" i="45"/>
  <c r="K32" i="45"/>
  <c r="L32" i="45"/>
  <c r="M32" i="45"/>
  <c r="N32" i="45"/>
  <c r="C32" i="45"/>
  <c r="D32" i="39"/>
  <c r="E32" i="39"/>
  <c r="F32" i="39"/>
  <c r="G32" i="39"/>
  <c r="H32" i="39"/>
  <c r="I32" i="39"/>
  <c r="J32" i="39"/>
  <c r="K32" i="39"/>
  <c r="L32" i="39"/>
  <c r="M32" i="39"/>
  <c r="N32" i="39"/>
  <c r="C32" i="39"/>
  <c r="N163" i="66"/>
  <c r="A163" i="66"/>
  <c r="N157" i="66"/>
  <c r="A157" i="66"/>
  <c r="M151" i="66"/>
  <c r="L151" i="66"/>
  <c r="K151" i="66"/>
  <c r="J151" i="66"/>
  <c r="I151" i="66"/>
  <c r="H151" i="66"/>
  <c r="G151" i="66"/>
  <c r="F151" i="66"/>
  <c r="E151" i="66"/>
  <c r="D151" i="66"/>
  <c r="C151" i="66"/>
  <c r="B151" i="66"/>
  <c r="N151" i="66" s="1"/>
  <c r="A149" i="66"/>
  <c r="A148" i="66"/>
  <c r="A147" i="66"/>
  <c r="M140" i="66"/>
  <c r="N24" i="68" s="1"/>
  <c r="L140" i="66"/>
  <c r="M24" i="68" s="1"/>
  <c r="K140" i="66"/>
  <c r="L24" i="68" s="1"/>
  <c r="J140" i="66"/>
  <c r="K24" i="68" s="1"/>
  <c r="I140" i="66"/>
  <c r="J24" i="68" s="1"/>
  <c r="H140" i="66"/>
  <c r="I24" i="68" s="1"/>
  <c r="G140" i="66"/>
  <c r="H24" i="68" s="1"/>
  <c r="F140" i="66"/>
  <c r="G24" i="68" s="1"/>
  <c r="E140" i="66"/>
  <c r="F24" i="68" s="1"/>
  <c r="D140" i="66"/>
  <c r="E24" i="68" s="1"/>
  <c r="C140" i="66"/>
  <c r="D24" i="68" s="1"/>
  <c r="B140" i="66"/>
  <c r="A138" i="66"/>
  <c r="A140" i="66" s="1"/>
  <c r="A131" i="66"/>
  <c r="M129" i="66"/>
  <c r="M131" i="66" s="1"/>
  <c r="L129" i="66"/>
  <c r="L131" i="66" s="1"/>
  <c r="K129" i="66"/>
  <c r="K131" i="66" s="1"/>
  <c r="J129" i="66"/>
  <c r="J131" i="66" s="1"/>
  <c r="I129" i="66"/>
  <c r="I131" i="66" s="1"/>
  <c r="H129" i="66"/>
  <c r="H131" i="66" s="1"/>
  <c r="G129" i="66"/>
  <c r="G131" i="66" s="1"/>
  <c r="F129" i="66"/>
  <c r="F131" i="66" s="1"/>
  <c r="E129" i="66"/>
  <c r="E131" i="66" s="1"/>
  <c r="D129" i="66"/>
  <c r="D131" i="66" s="1"/>
  <c r="B129" i="66"/>
  <c r="A121" i="66"/>
  <c r="M119" i="66"/>
  <c r="M121" i="66" s="1"/>
  <c r="L119" i="66"/>
  <c r="L121" i="66" s="1"/>
  <c r="K119" i="66"/>
  <c r="K121" i="66" s="1"/>
  <c r="J119" i="66"/>
  <c r="J121" i="66" s="1"/>
  <c r="I119" i="66"/>
  <c r="I121" i="66" s="1"/>
  <c r="H119" i="66"/>
  <c r="H121" i="66" s="1"/>
  <c r="G119" i="66"/>
  <c r="G121" i="66" s="1"/>
  <c r="F119" i="66"/>
  <c r="F121" i="66" s="1"/>
  <c r="E119" i="66"/>
  <c r="E121" i="66" s="1"/>
  <c r="D119" i="66"/>
  <c r="D121" i="66" s="1"/>
  <c r="C119" i="66"/>
  <c r="C121" i="66" s="1"/>
  <c r="B119" i="66"/>
  <c r="A110" i="66"/>
  <c r="M108" i="66"/>
  <c r="M110" i="66" s="1"/>
  <c r="L108" i="66"/>
  <c r="L110" i="66" s="1"/>
  <c r="K108" i="66"/>
  <c r="K110" i="66" s="1"/>
  <c r="J108" i="66"/>
  <c r="J110" i="66" s="1"/>
  <c r="I108" i="66"/>
  <c r="I110" i="66" s="1"/>
  <c r="H108" i="66"/>
  <c r="H110" i="66" s="1"/>
  <c r="G108" i="66"/>
  <c r="G110" i="66" s="1"/>
  <c r="F108" i="66"/>
  <c r="F110" i="66" s="1"/>
  <c r="E108" i="66"/>
  <c r="E110" i="66" s="1"/>
  <c r="D108" i="66"/>
  <c r="D110" i="66" s="1"/>
  <c r="B108" i="66"/>
  <c r="N108" i="66" s="1"/>
  <c r="A97" i="66"/>
  <c r="M95" i="66"/>
  <c r="M97" i="66" s="1"/>
  <c r="L95" i="66"/>
  <c r="L97" i="66" s="1"/>
  <c r="K95" i="66"/>
  <c r="K97" i="66" s="1"/>
  <c r="J95" i="66"/>
  <c r="J97" i="66" s="1"/>
  <c r="I95" i="66"/>
  <c r="I97" i="66" s="1"/>
  <c r="H95" i="66"/>
  <c r="H97" i="66" s="1"/>
  <c r="G95" i="66"/>
  <c r="G97" i="66" s="1"/>
  <c r="F95" i="66"/>
  <c r="F97" i="66" s="1"/>
  <c r="E95" i="66"/>
  <c r="E97" i="66" s="1"/>
  <c r="D95" i="66"/>
  <c r="D97" i="66" s="1"/>
  <c r="C95" i="66"/>
  <c r="C97" i="66" s="1"/>
  <c r="B95" i="66"/>
  <c r="A85" i="66"/>
  <c r="M83" i="66"/>
  <c r="L83" i="66"/>
  <c r="K83" i="66"/>
  <c r="J83" i="66"/>
  <c r="I83" i="66"/>
  <c r="H83" i="66"/>
  <c r="G83" i="66"/>
  <c r="F83" i="66"/>
  <c r="E83" i="66"/>
  <c r="D83" i="66"/>
  <c r="C83" i="66"/>
  <c r="C85" i="66" s="1"/>
  <c r="D24" i="33" s="1"/>
  <c r="B83" i="66"/>
  <c r="A73" i="66"/>
  <c r="M71" i="66"/>
  <c r="M73" i="66" s="1"/>
  <c r="N24" i="58" s="1"/>
  <c r="L71" i="66"/>
  <c r="L73" i="66" s="1"/>
  <c r="M24" i="58" s="1"/>
  <c r="K71" i="66"/>
  <c r="K73" i="66" s="1"/>
  <c r="L24" i="58" s="1"/>
  <c r="J71" i="66"/>
  <c r="J73" i="66" s="1"/>
  <c r="K24" i="58" s="1"/>
  <c r="I71" i="66"/>
  <c r="I73" i="66" s="1"/>
  <c r="J24" i="58" s="1"/>
  <c r="H71" i="66"/>
  <c r="H73" i="66" s="1"/>
  <c r="I24" i="58" s="1"/>
  <c r="G71" i="66"/>
  <c r="G73" i="66" s="1"/>
  <c r="H24" i="58" s="1"/>
  <c r="F71" i="66"/>
  <c r="F73" i="66" s="1"/>
  <c r="G24" i="58" s="1"/>
  <c r="E71" i="66"/>
  <c r="E73" i="66" s="1"/>
  <c r="F24" i="58" s="1"/>
  <c r="D71" i="66"/>
  <c r="D73" i="66" s="1"/>
  <c r="E24" i="58" s="1"/>
  <c r="B71" i="66"/>
  <c r="A61" i="66"/>
  <c r="M59" i="66"/>
  <c r="M61" i="66" s="1"/>
  <c r="M63" i="66" s="1"/>
  <c r="M64" i="66" s="1"/>
  <c r="L59" i="66"/>
  <c r="L61" i="66" s="1"/>
  <c r="M31" i="39" s="1"/>
  <c r="K59" i="66"/>
  <c r="K61" i="66" s="1"/>
  <c r="K63" i="66" s="1"/>
  <c r="K64" i="66" s="1"/>
  <c r="J59" i="66"/>
  <c r="J61" i="66" s="1"/>
  <c r="J63" i="66" s="1"/>
  <c r="J64" i="66" s="1"/>
  <c r="I59" i="66"/>
  <c r="I61" i="66" s="1"/>
  <c r="H59" i="66"/>
  <c r="H61" i="66" s="1"/>
  <c r="H63" i="66" s="1"/>
  <c r="H64" i="66" s="1"/>
  <c r="G59" i="66"/>
  <c r="G61" i="66" s="1"/>
  <c r="G63" i="66" s="1"/>
  <c r="G64" i="66" s="1"/>
  <c r="F59" i="66"/>
  <c r="F61" i="66" s="1"/>
  <c r="F63" i="66" s="1"/>
  <c r="F64" i="66" s="1"/>
  <c r="E59" i="66"/>
  <c r="E61" i="66" s="1"/>
  <c r="E63" i="66" s="1"/>
  <c r="E64" i="66" s="1"/>
  <c r="D59" i="66"/>
  <c r="D61" i="66" s="1"/>
  <c r="D63" i="66" s="1"/>
  <c r="D64" i="66" s="1"/>
  <c r="C59" i="66"/>
  <c r="C61" i="66" s="1"/>
  <c r="C63" i="66" s="1"/>
  <c r="C64" i="66" s="1"/>
  <c r="B59" i="66"/>
  <c r="A49" i="66"/>
  <c r="M47" i="66"/>
  <c r="M49" i="66" s="1"/>
  <c r="M51" i="66" s="1"/>
  <c r="L47" i="66"/>
  <c r="L49" i="66" s="1"/>
  <c r="L51" i="66" s="1"/>
  <c r="K47" i="66"/>
  <c r="K49" i="66" s="1"/>
  <c r="K51" i="66" s="1"/>
  <c r="J47" i="66"/>
  <c r="J49" i="66" s="1"/>
  <c r="J51" i="66" s="1"/>
  <c r="I47" i="66"/>
  <c r="I49" i="66" s="1"/>
  <c r="I51" i="66" s="1"/>
  <c r="H47" i="66"/>
  <c r="H49" i="66" s="1"/>
  <c r="H51" i="66" s="1"/>
  <c r="G47" i="66"/>
  <c r="G49" i="66" s="1"/>
  <c r="G51" i="66" s="1"/>
  <c r="F47" i="66"/>
  <c r="F49" i="66" s="1"/>
  <c r="F51" i="66" s="1"/>
  <c r="E47" i="66"/>
  <c r="E49" i="66" s="1"/>
  <c r="E51" i="66" s="1"/>
  <c r="D47" i="66"/>
  <c r="D49" i="66" s="1"/>
  <c r="D51" i="66" s="1"/>
  <c r="C47" i="66"/>
  <c r="C49" i="66" s="1"/>
  <c r="C51" i="66" s="1"/>
  <c r="B47" i="66"/>
  <c r="A38" i="66"/>
  <c r="M36" i="66"/>
  <c r="M38" i="66" s="1"/>
  <c r="L36" i="66"/>
  <c r="L38" i="66" s="1"/>
  <c r="K36" i="66"/>
  <c r="K38" i="66" s="1"/>
  <c r="J36" i="66"/>
  <c r="J38" i="66" s="1"/>
  <c r="I36" i="66"/>
  <c r="I38" i="66" s="1"/>
  <c r="H36" i="66"/>
  <c r="H38" i="66" s="1"/>
  <c r="G36" i="66"/>
  <c r="G38" i="66" s="1"/>
  <c r="F36" i="66"/>
  <c r="F38" i="66" s="1"/>
  <c r="E36" i="66"/>
  <c r="E38" i="66" s="1"/>
  <c r="D36" i="66"/>
  <c r="D38" i="66" s="1"/>
  <c r="C36" i="66"/>
  <c r="C38" i="66" s="1"/>
  <c r="B36" i="66"/>
  <c r="O36" i="66" s="1"/>
  <c r="M22" i="66"/>
  <c r="M24" i="66" s="1"/>
  <c r="L22" i="66"/>
  <c r="K22" i="66"/>
  <c r="K24" i="66" s="1"/>
  <c r="J22" i="66"/>
  <c r="K30" i="47" s="1"/>
  <c r="I22" i="66"/>
  <c r="I24" i="66" s="1"/>
  <c r="H22" i="66"/>
  <c r="G22" i="66"/>
  <c r="G24" i="66" s="1"/>
  <c r="F22" i="66"/>
  <c r="G30" i="47" s="1"/>
  <c r="D22" i="66"/>
  <c r="C22" i="66"/>
  <c r="C24" i="66" s="1"/>
  <c r="B22" i="66"/>
  <c r="A13" i="66"/>
  <c r="M10" i="66"/>
  <c r="L10" i="66"/>
  <c r="K10" i="66"/>
  <c r="K13" i="66" s="1"/>
  <c r="L30" i="51" s="1"/>
  <c r="J10" i="66"/>
  <c r="I10" i="66"/>
  <c r="H10" i="66"/>
  <c r="G10" i="66"/>
  <c r="G13" i="66" s="1"/>
  <c r="H30" i="51" s="1"/>
  <c r="F10" i="66"/>
  <c r="E10" i="66"/>
  <c r="E13" i="66" s="1"/>
  <c r="F30" i="51" s="1"/>
  <c r="C10" i="66"/>
  <c r="B10" i="66"/>
  <c r="O83" i="66" l="1"/>
  <c r="N140" i="66"/>
  <c r="C24" i="68"/>
  <c r="O47" i="66"/>
  <c r="O59" i="66"/>
  <c r="N22" i="66"/>
  <c r="O22" i="66"/>
  <c r="O10" i="66"/>
  <c r="G75" i="66"/>
  <c r="G76" i="66" s="1"/>
  <c r="H30" i="36"/>
  <c r="K75" i="66"/>
  <c r="K76" i="66" s="1"/>
  <c r="L30" i="36"/>
  <c r="A151" i="66"/>
  <c r="E75" i="66"/>
  <c r="E76" i="66" s="1"/>
  <c r="F30" i="36"/>
  <c r="M75" i="66"/>
  <c r="M76" i="66" s="1"/>
  <c r="N30" i="36"/>
  <c r="D75" i="66"/>
  <c r="D76" i="66" s="1"/>
  <c r="E30" i="36"/>
  <c r="H75" i="66"/>
  <c r="H76" i="66" s="1"/>
  <c r="I30" i="36"/>
  <c r="L75" i="66"/>
  <c r="L76" i="66" s="1"/>
  <c r="M30" i="36"/>
  <c r="I75" i="66"/>
  <c r="I76" i="66" s="1"/>
  <c r="J30" i="36"/>
  <c r="F75" i="66"/>
  <c r="F76" i="66" s="1"/>
  <c r="G30" i="36"/>
  <c r="J75" i="66"/>
  <c r="J76" i="66" s="1"/>
  <c r="K30" i="36"/>
  <c r="O32" i="45"/>
  <c r="J29" i="48"/>
  <c r="F52" i="66"/>
  <c r="G27" i="41" s="1"/>
  <c r="J52" i="66"/>
  <c r="K27" i="41" s="1"/>
  <c r="F99" i="66"/>
  <c r="F100" i="66" s="1"/>
  <c r="G24" i="62"/>
  <c r="J99" i="66"/>
  <c r="J100" i="66" s="1"/>
  <c r="K24" i="62"/>
  <c r="H24" i="67"/>
  <c r="L24" i="67"/>
  <c r="C52" i="66"/>
  <c r="D27" i="41" s="1"/>
  <c r="G52" i="66"/>
  <c r="H27" i="41" s="1"/>
  <c r="K52" i="66"/>
  <c r="L27" i="41" s="1"/>
  <c r="C99" i="66"/>
  <c r="C100" i="66" s="1"/>
  <c r="D24" i="62"/>
  <c r="G99" i="66"/>
  <c r="G100" i="66" s="1"/>
  <c r="H24" i="62"/>
  <c r="K99" i="66"/>
  <c r="K100" i="66" s="1"/>
  <c r="L24" i="62"/>
  <c r="E24" i="67"/>
  <c r="I24" i="67"/>
  <c r="M24" i="67"/>
  <c r="D52" i="66"/>
  <c r="E27" i="41" s="1"/>
  <c r="H52" i="66"/>
  <c r="I27" i="41" s="1"/>
  <c r="L52" i="66"/>
  <c r="M27" i="41" s="1"/>
  <c r="D99" i="66"/>
  <c r="D100" i="66" s="1"/>
  <c r="E24" i="62"/>
  <c r="H99" i="66"/>
  <c r="H100" i="66" s="1"/>
  <c r="I24" i="62"/>
  <c r="L99" i="66"/>
  <c r="L100" i="66" s="1"/>
  <c r="M24" i="62"/>
  <c r="F24" i="67"/>
  <c r="J24" i="67"/>
  <c r="N24" i="67"/>
  <c r="E52" i="66"/>
  <c r="F27" i="41" s="1"/>
  <c r="I52" i="66"/>
  <c r="J27" i="41" s="1"/>
  <c r="M52" i="66"/>
  <c r="N27" i="41" s="1"/>
  <c r="E99" i="66"/>
  <c r="E100" i="66" s="1"/>
  <c r="F24" i="62"/>
  <c r="I99" i="66"/>
  <c r="I100" i="66" s="1"/>
  <c r="J24" i="62"/>
  <c r="M99" i="66"/>
  <c r="M100" i="66" s="1"/>
  <c r="N24" i="62"/>
  <c r="G24" i="67"/>
  <c r="K24" i="67"/>
  <c r="F40" i="66"/>
  <c r="F41" i="66" s="1"/>
  <c r="F31" i="45"/>
  <c r="J8" i="45"/>
  <c r="J12" i="45"/>
  <c r="J16" i="45"/>
  <c r="J20" i="45"/>
  <c r="J24" i="45"/>
  <c r="J9" i="45"/>
  <c r="J13" i="45"/>
  <c r="J17" i="45"/>
  <c r="J21" i="45"/>
  <c r="J25" i="45"/>
  <c r="J10" i="45"/>
  <c r="J14" i="45"/>
  <c r="J18" i="45"/>
  <c r="J22" i="45"/>
  <c r="J26" i="45"/>
  <c r="J11" i="45"/>
  <c r="J7" i="45"/>
  <c r="J15" i="45"/>
  <c r="J23" i="45"/>
  <c r="J19" i="45"/>
  <c r="M40" i="66"/>
  <c r="M41" i="66" s="1"/>
  <c r="D31" i="45"/>
  <c r="D33" i="45" s="1"/>
  <c r="H8" i="45"/>
  <c r="H12" i="45"/>
  <c r="H16" i="45"/>
  <c r="H20" i="45"/>
  <c r="H24" i="45"/>
  <c r="H9" i="45"/>
  <c r="H13" i="45"/>
  <c r="H17" i="45"/>
  <c r="H21" i="45"/>
  <c r="H25" i="45"/>
  <c r="H10" i="45"/>
  <c r="H14" i="45"/>
  <c r="H18" i="45"/>
  <c r="H22" i="45"/>
  <c r="H26" i="45"/>
  <c r="H19" i="45"/>
  <c r="H23" i="45"/>
  <c r="H15" i="45"/>
  <c r="H7" i="45"/>
  <c r="H11" i="45"/>
  <c r="L31" i="45"/>
  <c r="L33" i="45" s="1"/>
  <c r="K31" i="45"/>
  <c r="K33" i="45" s="1"/>
  <c r="E31" i="45"/>
  <c r="E33" i="45" s="1"/>
  <c r="I31" i="45"/>
  <c r="I33" i="45" s="1"/>
  <c r="M31" i="45"/>
  <c r="M33" i="45" s="1"/>
  <c r="F33" i="45"/>
  <c r="N30" i="47"/>
  <c r="F31" i="39"/>
  <c r="L40" i="66"/>
  <c r="L41" i="66" s="1"/>
  <c r="N31" i="39"/>
  <c r="J30" i="47"/>
  <c r="N31" i="45"/>
  <c r="H40" i="66"/>
  <c r="N29" i="48"/>
  <c r="D40" i="66"/>
  <c r="D41" i="66" s="1"/>
  <c r="I40" i="66"/>
  <c r="J27" i="44" s="1"/>
  <c r="J31" i="45"/>
  <c r="D24" i="66"/>
  <c r="D26" i="66" s="1"/>
  <c r="E30" i="47"/>
  <c r="E29" i="48"/>
  <c r="H24" i="66"/>
  <c r="H26" i="66" s="1"/>
  <c r="I30" i="47"/>
  <c r="I29" i="48"/>
  <c r="L24" i="66"/>
  <c r="L26" i="66" s="1"/>
  <c r="M30" i="47"/>
  <c r="M29" i="48"/>
  <c r="I63" i="66"/>
  <c r="I64" i="66" s="1"/>
  <c r="J31" i="39"/>
  <c r="L63" i="66"/>
  <c r="L64" i="66" s="1"/>
  <c r="F24" i="66"/>
  <c r="F26" i="66" s="1"/>
  <c r="A34" i="66"/>
  <c r="A45" i="66"/>
  <c r="A69" i="66"/>
  <c r="A106" i="66"/>
  <c r="L29" i="48"/>
  <c r="H29" i="48"/>
  <c r="D29" i="48"/>
  <c r="L30" i="47"/>
  <c r="H30" i="47"/>
  <c r="D30" i="47"/>
  <c r="L31" i="39"/>
  <c r="H31" i="39"/>
  <c r="D31" i="39"/>
  <c r="H31" i="45"/>
  <c r="J40" i="66"/>
  <c r="K27" i="44" s="1"/>
  <c r="F169" i="66"/>
  <c r="J169" i="66"/>
  <c r="J24" i="66"/>
  <c r="A117" i="66"/>
  <c r="C29" i="48"/>
  <c r="K29" i="48"/>
  <c r="G29" i="48"/>
  <c r="C30" i="47"/>
  <c r="K31" i="39"/>
  <c r="G31" i="39"/>
  <c r="G31" i="45"/>
  <c r="E40" i="66"/>
  <c r="F27" i="44" s="1"/>
  <c r="A7" i="66"/>
  <c r="A20" i="66"/>
  <c r="B24" i="66"/>
  <c r="A57" i="66"/>
  <c r="C71" i="66"/>
  <c r="C73" i="66" s="1"/>
  <c r="D24" i="58" s="1"/>
  <c r="A93" i="66"/>
  <c r="I31" i="39"/>
  <c r="E31" i="39"/>
  <c r="K40" i="66"/>
  <c r="L27" i="44" s="1"/>
  <c r="G40" i="66"/>
  <c r="H27" i="44" s="1"/>
  <c r="C40" i="66"/>
  <c r="H169" i="66"/>
  <c r="H13" i="66"/>
  <c r="I30" i="51" s="1"/>
  <c r="L169" i="66"/>
  <c r="L13" i="66"/>
  <c r="M30" i="51" s="1"/>
  <c r="I169" i="66"/>
  <c r="I13" i="66"/>
  <c r="J30" i="51" s="1"/>
  <c r="K15" i="66"/>
  <c r="K16" i="66" s="1"/>
  <c r="E15" i="66"/>
  <c r="E16" i="66" s="1"/>
  <c r="C26" i="66"/>
  <c r="C25" i="66"/>
  <c r="G26" i="66"/>
  <c r="G25" i="66"/>
  <c r="K26" i="66"/>
  <c r="K25" i="66"/>
  <c r="I26" i="66"/>
  <c r="I25" i="66"/>
  <c r="M26" i="66"/>
  <c r="M25" i="66"/>
  <c r="M169" i="66"/>
  <c r="J13" i="66"/>
  <c r="K30" i="51" s="1"/>
  <c r="A127" i="66"/>
  <c r="C129" i="66"/>
  <c r="C131" i="66" s="1"/>
  <c r="D10" i="66"/>
  <c r="F13" i="66"/>
  <c r="G30" i="51" s="1"/>
  <c r="E22" i="66"/>
  <c r="N36" i="66"/>
  <c r="B38" i="66"/>
  <c r="O38" i="66" s="1"/>
  <c r="N59" i="66"/>
  <c r="B61" i="66"/>
  <c r="E85" i="66"/>
  <c r="F24" i="33" s="1"/>
  <c r="I85" i="66"/>
  <c r="J24" i="33" s="1"/>
  <c r="M85" i="66"/>
  <c r="N24" i="33" s="1"/>
  <c r="G15" i="66"/>
  <c r="G16" i="66" s="1"/>
  <c r="B121" i="66"/>
  <c r="N121" i="66" s="1"/>
  <c r="N119" i="66"/>
  <c r="B169" i="66"/>
  <c r="N10" i="66"/>
  <c r="K169" i="66"/>
  <c r="B13" i="66"/>
  <c r="M13" i="66"/>
  <c r="N30" i="51" s="1"/>
  <c r="G169" i="66"/>
  <c r="C13" i="66"/>
  <c r="D30" i="51" s="1"/>
  <c r="N47" i="66"/>
  <c r="B49" i="66"/>
  <c r="O49" i="66" s="1"/>
  <c r="B73" i="66"/>
  <c r="C24" i="58" s="1"/>
  <c r="N71" i="66"/>
  <c r="C87" i="66"/>
  <c r="C88" i="66" s="1"/>
  <c r="G85" i="66"/>
  <c r="K85" i="66"/>
  <c r="L24" i="33" s="1"/>
  <c r="D85" i="66"/>
  <c r="E24" i="33" s="1"/>
  <c r="H85" i="66"/>
  <c r="I24" i="33" s="1"/>
  <c r="L85" i="66"/>
  <c r="M24" i="33" s="1"/>
  <c r="B131" i="66"/>
  <c r="N131" i="66" s="1"/>
  <c r="N129" i="66"/>
  <c r="B85" i="66"/>
  <c r="N83" i="66"/>
  <c r="F85" i="66"/>
  <c r="G24" i="33" s="1"/>
  <c r="J85" i="66"/>
  <c r="K24" i="33" s="1"/>
  <c r="B110" i="66"/>
  <c r="C108" i="66"/>
  <c r="C110" i="66" s="1"/>
  <c r="B97" i="66"/>
  <c r="C24" i="62" s="1"/>
  <c r="N95" i="66"/>
  <c r="A81" i="66"/>
  <c r="N165" i="66" l="1"/>
  <c r="N110" i="66"/>
  <c r="C24" i="67"/>
  <c r="C30" i="36"/>
  <c r="O73" i="66"/>
  <c r="O71" i="66"/>
  <c r="C24" i="33"/>
  <c r="O85" i="66"/>
  <c r="C31" i="39"/>
  <c r="O31" i="39" s="1"/>
  <c r="O61" i="66"/>
  <c r="C30" i="51"/>
  <c r="O13" i="66"/>
  <c r="C75" i="66"/>
  <c r="C76" i="66" s="1"/>
  <c r="D30" i="36"/>
  <c r="H25" i="66"/>
  <c r="H27" i="66" s="1"/>
  <c r="M27" i="66"/>
  <c r="J30" i="41"/>
  <c r="J30" i="42"/>
  <c r="M30" i="41"/>
  <c r="M30" i="42"/>
  <c r="E30" i="41"/>
  <c r="E30" i="42"/>
  <c r="H30" i="41"/>
  <c r="H30" i="42"/>
  <c r="K30" i="41"/>
  <c r="K30" i="42"/>
  <c r="D24" i="67"/>
  <c r="G171" i="66"/>
  <c r="H24" i="33"/>
  <c r="N30" i="41"/>
  <c r="N30" i="42"/>
  <c r="F30" i="41"/>
  <c r="F30" i="42"/>
  <c r="I30" i="41"/>
  <c r="I30" i="42"/>
  <c r="L30" i="41"/>
  <c r="L30" i="42"/>
  <c r="D30" i="41"/>
  <c r="D30" i="42"/>
  <c r="G30" i="41"/>
  <c r="G30" i="42"/>
  <c r="L11" i="44"/>
  <c r="L15" i="44"/>
  <c r="L19" i="44"/>
  <c r="L23" i="44"/>
  <c r="L7" i="44"/>
  <c r="L8" i="44"/>
  <c r="L12" i="44"/>
  <c r="L16" i="44"/>
  <c r="L20" i="44"/>
  <c r="L24" i="44"/>
  <c r="L14" i="44"/>
  <c r="L22" i="44"/>
  <c r="L10" i="44"/>
  <c r="L18" i="44"/>
  <c r="L26" i="44"/>
  <c r="L13" i="44"/>
  <c r="L21" i="44"/>
  <c r="L9" i="44"/>
  <c r="L17" i="44"/>
  <c r="L25" i="44"/>
  <c r="K8" i="45"/>
  <c r="K12" i="45"/>
  <c r="K16" i="45"/>
  <c r="K20" i="45"/>
  <c r="K24" i="45"/>
  <c r="K9" i="45"/>
  <c r="K13" i="45"/>
  <c r="K17" i="45"/>
  <c r="K21" i="45"/>
  <c r="K25" i="45"/>
  <c r="K10" i="45"/>
  <c r="K14" i="45"/>
  <c r="K18" i="45"/>
  <c r="K22" i="45"/>
  <c r="K26" i="45"/>
  <c r="K15" i="45"/>
  <c r="K19" i="45"/>
  <c r="K11" i="45"/>
  <c r="K7" i="45"/>
  <c r="K23" i="45"/>
  <c r="F11" i="44"/>
  <c r="F15" i="44"/>
  <c r="F19" i="44"/>
  <c r="F8" i="44"/>
  <c r="F13" i="44"/>
  <c r="F18" i="44"/>
  <c r="F23" i="44"/>
  <c r="F7" i="44"/>
  <c r="F10" i="44"/>
  <c r="F16" i="44"/>
  <c r="F21" i="44"/>
  <c r="F25" i="44"/>
  <c r="F17" i="44"/>
  <c r="F26" i="44"/>
  <c r="F9" i="44"/>
  <c r="F20" i="44"/>
  <c r="F12" i="44"/>
  <c r="F22" i="44"/>
  <c r="F14" i="44"/>
  <c r="F24" i="44"/>
  <c r="J11" i="44"/>
  <c r="J8" i="43" s="1"/>
  <c r="J15" i="44"/>
  <c r="J13" i="59" s="1"/>
  <c r="J19" i="44"/>
  <c r="J17" i="59" s="1"/>
  <c r="J23" i="44"/>
  <c r="J21" i="59" s="1"/>
  <c r="J7" i="44"/>
  <c r="J5" i="59" s="1"/>
  <c r="J8" i="44"/>
  <c r="J6" i="59" s="1"/>
  <c r="J12" i="44"/>
  <c r="J10" i="59" s="1"/>
  <c r="J16" i="44"/>
  <c r="J14" i="59" s="1"/>
  <c r="J20" i="44"/>
  <c r="J18" i="59" s="1"/>
  <c r="J24" i="44"/>
  <c r="J22" i="59" s="1"/>
  <c r="J14" i="44"/>
  <c r="J12" i="59" s="1"/>
  <c r="J22" i="44"/>
  <c r="J20" i="59" s="1"/>
  <c r="J10" i="44"/>
  <c r="J8" i="59" s="1"/>
  <c r="J18" i="44"/>
  <c r="J16" i="59" s="1"/>
  <c r="J26" i="44"/>
  <c r="J24" i="59" s="1"/>
  <c r="J13" i="44"/>
  <c r="J11" i="59" s="1"/>
  <c r="J21" i="44"/>
  <c r="J19" i="59" s="1"/>
  <c r="J25" i="44"/>
  <c r="J23" i="59" s="1"/>
  <c r="J9" i="44"/>
  <c r="J7" i="59" s="1"/>
  <c r="J17" i="44"/>
  <c r="J15" i="59" s="1"/>
  <c r="M32" i="44"/>
  <c r="M27" i="44"/>
  <c r="C31" i="45"/>
  <c r="C33" i="45" s="1"/>
  <c r="K11" i="44"/>
  <c r="K15" i="44"/>
  <c r="K19" i="44"/>
  <c r="K23" i="44"/>
  <c r="K7" i="44"/>
  <c r="K8" i="44"/>
  <c r="K12" i="44"/>
  <c r="K16" i="44"/>
  <c r="K20" i="44"/>
  <c r="K24" i="44"/>
  <c r="K10" i="44"/>
  <c r="K18" i="44"/>
  <c r="K26" i="44"/>
  <c r="K14" i="44"/>
  <c r="K22" i="44"/>
  <c r="K9" i="44"/>
  <c r="K17" i="44"/>
  <c r="K25" i="44"/>
  <c r="K13" i="44"/>
  <c r="K21" i="44"/>
  <c r="I8" i="45"/>
  <c r="I12" i="45"/>
  <c r="I16" i="45"/>
  <c r="I20" i="45"/>
  <c r="I24" i="45"/>
  <c r="I9" i="45"/>
  <c r="I13" i="45"/>
  <c r="I17" i="45"/>
  <c r="I21" i="45"/>
  <c r="I25" i="45"/>
  <c r="I10" i="45"/>
  <c r="I14" i="45"/>
  <c r="I18" i="45"/>
  <c r="I22" i="45"/>
  <c r="I26" i="45"/>
  <c r="I23" i="45"/>
  <c r="I11" i="45"/>
  <c r="I7" i="45"/>
  <c r="I19" i="45"/>
  <c r="I15" i="45"/>
  <c r="D8" i="45"/>
  <c r="D12" i="45"/>
  <c r="D16" i="45"/>
  <c r="D20" i="45"/>
  <c r="D24" i="45"/>
  <c r="D9" i="45"/>
  <c r="D13" i="45"/>
  <c r="D17" i="45"/>
  <c r="D21" i="45"/>
  <c r="D25" i="45"/>
  <c r="D10" i="45"/>
  <c r="D14" i="45"/>
  <c r="D18" i="45"/>
  <c r="D22" i="45"/>
  <c r="D26" i="45"/>
  <c r="D19" i="45"/>
  <c r="D23" i="45"/>
  <c r="D15" i="45"/>
  <c r="D11" i="45"/>
  <c r="D7" i="45"/>
  <c r="F8" i="45"/>
  <c r="F5" i="43" s="1"/>
  <c r="F12" i="45"/>
  <c r="F16" i="45"/>
  <c r="F13" i="43" s="1"/>
  <c r="F20" i="45"/>
  <c r="F24" i="45"/>
  <c r="F21" i="43" s="1"/>
  <c r="F9" i="45"/>
  <c r="F13" i="45"/>
  <c r="F17" i="45"/>
  <c r="F21" i="45"/>
  <c r="F25" i="45"/>
  <c r="F10" i="45"/>
  <c r="F14" i="45"/>
  <c r="F11" i="43" s="1"/>
  <c r="F18" i="45"/>
  <c r="F22" i="45"/>
  <c r="F26" i="45"/>
  <c r="F23" i="43" s="1"/>
  <c r="F11" i="45"/>
  <c r="F7" i="45"/>
  <c r="F4" i="43" s="1"/>
  <c r="F15" i="45"/>
  <c r="F23" i="45"/>
  <c r="F19" i="45"/>
  <c r="F16" i="43" s="1"/>
  <c r="D32" i="44"/>
  <c r="D27" i="44"/>
  <c r="E32" i="44"/>
  <c r="E27" i="44"/>
  <c r="M8" i="45"/>
  <c r="M12" i="45"/>
  <c r="M16" i="45"/>
  <c r="M20" i="45"/>
  <c r="M24" i="45"/>
  <c r="M9" i="45"/>
  <c r="M13" i="45"/>
  <c r="M17" i="45"/>
  <c r="M21" i="45"/>
  <c r="M25" i="45"/>
  <c r="M10" i="45"/>
  <c r="M14" i="45"/>
  <c r="M18" i="45"/>
  <c r="M22" i="45"/>
  <c r="M26" i="45"/>
  <c r="M23" i="45"/>
  <c r="M11" i="45"/>
  <c r="M7" i="45"/>
  <c r="M19" i="45"/>
  <c r="M15" i="45"/>
  <c r="E8" i="45"/>
  <c r="E12" i="45"/>
  <c r="E16" i="45"/>
  <c r="E20" i="45"/>
  <c r="E24" i="45"/>
  <c r="E9" i="45"/>
  <c r="E13" i="45"/>
  <c r="E17" i="45"/>
  <c r="E21" i="45"/>
  <c r="E25" i="45"/>
  <c r="E10" i="45"/>
  <c r="E14" i="45"/>
  <c r="E18" i="45"/>
  <c r="E22" i="45"/>
  <c r="E26" i="45"/>
  <c r="E23" i="45"/>
  <c r="E11" i="45"/>
  <c r="E7" i="45"/>
  <c r="E19" i="45"/>
  <c r="E15" i="45"/>
  <c r="L8" i="45"/>
  <c r="L12" i="45"/>
  <c r="L16" i="45"/>
  <c r="L20" i="45"/>
  <c r="L24" i="45"/>
  <c r="L9" i="45"/>
  <c r="L13" i="45"/>
  <c r="L17" i="45"/>
  <c r="L14" i="43" s="1"/>
  <c r="L21" i="45"/>
  <c r="L25" i="45"/>
  <c r="L10" i="45"/>
  <c r="L14" i="45"/>
  <c r="L11" i="43" s="1"/>
  <c r="L18" i="45"/>
  <c r="L22" i="45"/>
  <c r="L26" i="45"/>
  <c r="L19" i="45"/>
  <c r="L16" i="43" s="1"/>
  <c r="L23" i="45"/>
  <c r="L20" i="43" s="1"/>
  <c r="L15" i="45"/>
  <c r="L11" i="45"/>
  <c r="L7" i="45"/>
  <c r="N8" i="45"/>
  <c r="N12" i="45"/>
  <c r="N16" i="45"/>
  <c r="N20" i="45"/>
  <c r="N24" i="45"/>
  <c r="N9" i="45"/>
  <c r="N13" i="45"/>
  <c r="N17" i="45"/>
  <c r="N21" i="45"/>
  <c r="N25" i="45"/>
  <c r="N10" i="45"/>
  <c r="N14" i="45"/>
  <c r="N18" i="45"/>
  <c r="N22" i="45"/>
  <c r="N26" i="45"/>
  <c r="N11" i="45"/>
  <c r="N7" i="45"/>
  <c r="N15" i="45"/>
  <c r="N23" i="45"/>
  <c r="N19" i="45"/>
  <c r="G8" i="45"/>
  <c r="G12" i="45"/>
  <c r="G16" i="45"/>
  <c r="G20" i="45"/>
  <c r="G24" i="45"/>
  <c r="G9" i="45"/>
  <c r="G13" i="45"/>
  <c r="G17" i="45"/>
  <c r="G21" i="45"/>
  <c r="G25" i="45"/>
  <c r="G10" i="45"/>
  <c r="G14" i="45"/>
  <c r="G18" i="45"/>
  <c r="G22" i="45"/>
  <c r="G26" i="45"/>
  <c r="G15" i="45"/>
  <c r="G19" i="45"/>
  <c r="G11" i="45"/>
  <c r="G7" i="45"/>
  <c r="G23" i="45"/>
  <c r="H11" i="44"/>
  <c r="H9" i="59" s="1"/>
  <c r="H15" i="44"/>
  <c r="H13" i="59" s="1"/>
  <c r="H19" i="44"/>
  <c r="H17" i="59" s="1"/>
  <c r="H23" i="44"/>
  <c r="H21" i="59" s="1"/>
  <c r="H8" i="44"/>
  <c r="H6" i="59" s="1"/>
  <c r="H12" i="44"/>
  <c r="H10" i="59" s="1"/>
  <c r="H16" i="44"/>
  <c r="H14" i="59" s="1"/>
  <c r="H20" i="44"/>
  <c r="H18" i="59" s="1"/>
  <c r="H24" i="44"/>
  <c r="H22" i="59" s="1"/>
  <c r="H14" i="44"/>
  <c r="H12" i="59" s="1"/>
  <c r="H22" i="44"/>
  <c r="H20" i="59" s="1"/>
  <c r="H7" i="44"/>
  <c r="H5" i="59" s="1"/>
  <c r="H10" i="44"/>
  <c r="H8" i="59" s="1"/>
  <c r="H18" i="44"/>
  <c r="H16" i="59" s="1"/>
  <c r="H26" i="44"/>
  <c r="H24" i="59" s="1"/>
  <c r="H13" i="44"/>
  <c r="H11" i="59" s="1"/>
  <c r="H17" i="44"/>
  <c r="H15" i="59" s="1"/>
  <c r="H21" i="44"/>
  <c r="H19" i="59" s="1"/>
  <c r="H9" i="44"/>
  <c r="H7" i="59" s="1"/>
  <c r="H25" i="44"/>
  <c r="H23" i="59" s="1"/>
  <c r="C41" i="66"/>
  <c r="I32" i="44"/>
  <c r="I27" i="44"/>
  <c r="N32" i="44"/>
  <c r="N27" i="44"/>
  <c r="G32" i="44"/>
  <c r="G27" i="44"/>
  <c r="G41" i="66"/>
  <c r="H32" i="44"/>
  <c r="H41" i="66"/>
  <c r="K27" i="66"/>
  <c r="C27" i="66"/>
  <c r="D25" i="66"/>
  <c r="D27" i="66" s="1"/>
  <c r="G33" i="45"/>
  <c r="J41" i="66"/>
  <c r="K32" i="44"/>
  <c r="J33" i="45"/>
  <c r="N33" i="45"/>
  <c r="K41" i="66"/>
  <c r="L32" i="44"/>
  <c r="F25" i="66"/>
  <c r="F27" i="66" s="1"/>
  <c r="E41" i="66"/>
  <c r="F32" i="44"/>
  <c r="H33" i="45"/>
  <c r="I41" i="66"/>
  <c r="J32" i="44"/>
  <c r="E24" i="66"/>
  <c r="E26" i="66" s="1"/>
  <c r="F30" i="47"/>
  <c r="O30" i="47" s="1"/>
  <c r="F29" i="48"/>
  <c r="O29" i="48" s="1"/>
  <c r="E169" i="66"/>
  <c r="L25" i="66"/>
  <c r="L27" i="66" s="1"/>
  <c r="B26" i="66"/>
  <c r="B25" i="66"/>
  <c r="J26" i="66"/>
  <c r="J25" i="66"/>
  <c r="J87" i="66"/>
  <c r="J88" i="66" s="1"/>
  <c r="E87" i="66"/>
  <c r="E88" i="66" s="1"/>
  <c r="I171" i="66"/>
  <c r="I15" i="66"/>
  <c r="I16" i="66" s="1"/>
  <c r="F87" i="66"/>
  <c r="F88" i="66" s="1"/>
  <c r="H87" i="66"/>
  <c r="H88" i="66" s="1"/>
  <c r="N49" i="66"/>
  <c r="B51" i="66"/>
  <c r="M171" i="66"/>
  <c r="M15" i="66"/>
  <c r="M16" i="66" s="1"/>
  <c r="I87" i="66"/>
  <c r="I88" i="66" s="1"/>
  <c r="N61" i="66"/>
  <c r="B63" i="66"/>
  <c r="B64" i="66" s="1"/>
  <c r="C169" i="66"/>
  <c r="I27" i="66"/>
  <c r="G27" i="66"/>
  <c r="L171" i="66"/>
  <c r="L15" i="66"/>
  <c r="L16" i="66" s="1"/>
  <c r="D169" i="66"/>
  <c r="D13" i="66"/>
  <c r="E30" i="51" s="1"/>
  <c r="N97" i="66"/>
  <c r="B99" i="66"/>
  <c r="B100" i="66" s="1"/>
  <c r="K87" i="66"/>
  <c r="K88" i="66" s="1"/>
  <c r="B171" i="66"/>
  <c r="N13" i="66"/>
  <c r="B15" i="66"/>
  <c r="B16" i="66" s="1"/>
  <c r="F171" i="66"/>
  <c r="F15" i="66"/>
  <c r="F16" i="66" s="1"/>
  <c r="E171" i="66"/>
  <c r="K171" i="66"/>
  <c r="L87" i="66"/>
  <c r="L88" i="66" s="1"/>
  <c r="D87" i="66"/>
  <c r="D88" i="66" s="1"/>
  <c r="C171" i="66"/>
  <c r="C15" i="66"/>
  <c r="C16" i="66" s="1"/>
  <c r="M87" i="66"/>
  <c r="M88" i="66" s="1"/>
  <c r="N38" i="66"/>
  <c r="B40" i="66"/>
  <c r="C27" i="44" s="1"/>
  <c r="J171" i="66"/>
  <c r="J15" i="66"/>
  <c r="J16" i="66" s="1"/>
  <c r="H171" i="66"/>
  <c r="H15" i="66"/>
  <c r="H16" i="66" s="1"/>
  <c r="N85" i="66"/>
  <c r="B87" i="66"/>
  <c r="B88" i="66" s="1"/>
  <c r="G87" i="66"/>
  <c r="G88" i="66" s="1"/>
  <c r="N73" i="66"/>
  <c r="B75" i="66"/>
  <c r="B76" i="66" s="1"/>
  <c r="K23" i="59" l="1"/>
  <c r="F18" i="43"/>
  <c r="N167" i="66"/>
  <c r="L18" i="43"/>
  <c r="J12" i="43"/>
  <c r="L21" i="43"/>
  <c r="L5" i="43"/>
  <c r="F15" i="43"/>
  <c r="H16" i="43"/>
  <c r="H13" i="43"/>
  <c r="J23" i="43"/>
  <c r="H9" i="43"/>
  <c r="F17" i="43"/>
  <c r="J14" i="43"/>
  <c r="L23" i="43"/>
  <c r="L10" i="43"/>
  <c r="L13" i="43"/>
  <c r="F20" i="43"/>
  <c r="L12" i="43"/>
  <c r="L19" i="43"/>
  <c r="L22" i="43"/>
  <c r="L6" i="43"/>
  <c r="L9" i="43"/>
  <c r="F12" i="43"/>
  <c r="F19" i="43"/>
  <c r="F22" i="43"/>
  <c r="K16" i="43"/>
  <c r="K15" i="43"/>
  <c r="K18" i="43"/>
  <c r="J9" i="43"/>
  <c r="H18" i="43"/>
  <c r="H12" i="43"/>
  <c r="L4" i="43"/>
  <c r="L17" i="43"/>
  <c r="J9" i="59"/>
  <c r="K20" i="43"/>
  <c r="K12" i="43"/>
  <c r="K11" i="43"/>
  <c r="K14" i="43"/>
  <c r="K17" i="43"/>
  <c r="J6" i="43"/>
  <c r="H17" i="43"/>
  <c r="H8" i="43"/>
  <c r="J13" i="43"/>
  <c r="J20" i="43"/>
  <c r="H15" i="43"/>
  <c r="H23" i="43"/>
  <c r="J11" i="43"/>
  <c r="H6" i="43"/>
  <c r="J18" i="43"/>
  <c r="K21" i="43"/>
  <c r="H7" i="43"/>
  <c r="L8" i="43"/>
  <c r="L7" i="43"/>
  <c r="F7" i="43"/>
  <c r="F10" i="43"/>
  <c r="K4" i="43"/>
  <c r="K23" i="43"/>
  <c r="K7" i="43"/>
  <c r="K10" i="43"/>
  <c r="K13" i="43"/>
  <c r="J22" i="43"/>
  <c r="H14" i="43"/>
  <c r="J21" i="43"/>
  <c r="J10" i="43"/>
  <c r="H5" i="43"/>
  <c r="H20" i="43"/>
  <c r="H4" i="43"/>
  <c r="H22" i="43"/>
  <c r="J15" i="43"/>
  <c r="K5" i="43"/>
  <c r="F9" i="43"/>
  <c r="K8" i="43"/>
  <c r="K19" i="43"/>
  <c r="K22" i="43"/>
  <c r="K6" i="43"/>
  <c r="K9" i="43"/>
  <c r="J19" i="43"/>
  <c r="H11" i="43"/>
  <c r="J4" i="43"/>
  <c r="J7" i="43"/>
  <c r="H21" i="43"/>
  <c r="J5" i="43"/>
  <c r="J17" i="43"/>
  <c r="J16" i="43"/>
  <c r="H19" i="43"/>
  <c r="H10" i="43"/>
  <c r="F9" i="59"/>
  <c r="F8" i="43"/>
  <c r="F15" i="59"/>
  <c r="F14" i="43"/>
  <c r="F7" i="59"/>
  <c r="F6" i="43"/>
  <c r="L16" i="59"/>
  <c r="L15" i="43"/>
  <c r="L24" i="59"/>
  <c r="K14" i="59"/>
  <c r="K5" i="59"/>
  <c r="K15" i="59"/>
  <c r="K18" i="59"/>
  <c r="L23" i="59"/>
  <c r="F13" i="59"/>
  <c r="K10" i="59"/>
  <c r="K9" i="59"/>
  <c r="K7" i="59"/>
  <c r="K22" i="59"/>
  <c r="L8" i="59"/>
  <c r="F11" i="59"/>
  <c r="K19" i="59"/>
  <c r="K16" i="59"/>
  <c r="F12" i="59"/>
  <c r="F19" i="59"/>
  <c r="F21" i="59"/>
  <c r="K8" i="59"/>
  <c r="L15" i="59"/>
  <c r="L17" i="59"/>
  <c r="F24" i="59"/>
  <c r="F14" i="59"/>
  <c r="B52" i="66"/>
  <c r="C27" i="41" s="1"/>
  <c r="O24" i="68"/>
  <c r="F18" i="59"/>
  <c r="K12" i="59"/>
  <c r="L14" i="59"/>
  <c r="L21" i="59"/>
  <c r="I11" i="44"/>
  <c r="I9" i="59" s="1"/>
  <c r="I15" i="44"/>
  <c r="I13" i="59" s="1"/>
  <c r="I19" i="44"/>
  <c r="I17" i="59" s="1"/>
  <c r="I23" i="44"/>
  <c r="I21" i="59" s="1"/>
  <c r="I7" i="44"/>
  <c r="I5" i="59" s="1"/>
  <c r="I8" i="44"/>
  <c r="I6" i="59" s="1"/>
  <c r="I12" i="44"/>
  <c r="I10" i="59" s="1"/>
  <c r="I16" i="44"/>
  <c r="I14" i="59" s="1"/>
  <c r="I20" i="44"/>
  <c r="I18" i="59" s="1"/>
  <c r="I24" i="44"/>
  <c r="I22" i="59" s="1"/>
  <c r="I10" i="44"/>
  <c r="I8" i="59" s="1"/>
  <c r="I18" i="44"/>
  <c r="I16" i="59" s="1"/>
  <c r="I26" i="44"/>
  <c r="I24" i="59" s="1"/>
  <c r="I14" i="44"/>
  <c r="I12" i="59" s="1"/>
  <c r="I22" i="44"/>
  <c r="I20" i="59" s="1"/>
  <c r="I17" i="44"/>
  <c r="I15" i="59" s="1"/>
  <c r="I21" i="44"/>
  <c r="I19" i="59" s="1"/>
  <c r="I9" i="44"/>
  <c r="I7" i="59" s="1"/>
  <c r="I25" i="44"/>
  <c r="I23" i="59" s="1"/>
  <c r="I13" i="44"/>
  <c r="I11" i="59" s="1"/>
  <c r="K21" i="59"/>
  <c r="C9" i="45"/>
  <c r="C13" i="45"/>
  <c r="C17" i="45"/>
  <c r="C21" i="45"/>
  <c r="C25" i="45"/>
  <c r="C10" i="45"/>
  <c r="C14" i="45"/>
  <c r="C18" i="45"/>
  <c r="C22" i="45"/>
  <c r="C26" i="45"/>
  <c r="C11" i="45"/>
  <c r="C15" i="45"/>
  <c r="C19" i="45"/>
  <c r="C23" i="45"/>
  <c r="C7" i="45"/>
  <c r="C20" i="45"/>
  <c r="C8" i="45"/>
  <c r="C24" i="45"/>
  <c r="C16" i="45"/>
  <c r="C12" i="45"/>
  <c r="M11" i="44"/>
  <c r="M9" i="59" s="1"/>
  <c r="M15" i="44"/>
  <c r="M13" i="59" s="1"/>
  <c r="M19" i="44"/>
  <c r="M17" i="59" s="1"/>
  <c r="M23" i="44"/>
  <c r="M21" i="59" s="1"/>
  <c r="M7" i="44"/>
  <c r="M5" i="59" s="1"/>
  <c r="M8" i="44"/>
  <c r="M6" i="59" s="1"/>
  <c r="M12" i="44"/>
  <c r="M10" i="59" s="1"/>
  <c r="M16" i="44"/>
  <c r="M14" i="59" s="1"/>
  <c r="M20" i="44"/>
  <c r="M18" i="59" s="1"/>
  <c r="M24" i="44"/>
  <c r="M22" i="59" s="1"/>
  <c r="M10" i="44"/>
  <c r="M8" i="59" s="1"/>
  <c r="M18" i="44"/>
  <c r="M16" i="59" s="1"/>
  <c r="M26" i="44"/>
  <c r="M24" i="59" s="1"/>
  <c r="M14" i="44"/>
  <c r="M12" i="59" s="1"/>
  <c r="M22" i="44"/>
  <c r="M20" i="59" s="1"/>
  <c r="M9" i="44"/>
  <c r="M7" i="59" s="1"/>
  <c r="M17" i="44"/>
  <c r="M15" i="59" s="1"/>
  <c r="M25" i="44"/>
  <c r="M23" i="59" s="1"/>
  <c r="M21" i="44"/>
  <c r="M19" i="59" s="1"/>
  <c r="M13" i="44"/>
  <c r="M11" i="59" s="1"/>
  <c r="F20" i="59"/>
  <c r="F16" i="59"/>
  <c r="K24" i="59"/>
  <c r="L10" i="59"/>
  <c r="C9" i="44"/>
  <c r="C13" i="44"/>
  <c r="C11" i="59" s="1"/>
  <c r="C17" i="44"/>
  <c r="C15" i="59" s="1"/>
  <c r="C21" i="44"/>
  <c r="C25" i="44"/>
  <c r="C10" i="44"/>
  <c r="C15" i="44"/>
  <c r="C20" i="44"/>
  <c r="C26" i="44"/>
  <c r="C24" i="44"/>
  <c r="C22" i="59" s="1"/>
  <c r="C11" i="44"/>
  <c r="C9" i="59" s="1"/>
  <c r="C16" i="44"/>
  <c r="C22" i="44"/>
  <c r="C7" i="44"/>
  <c r="C14" i="44"/>
  <c r="C12" i="44"/>
  <c r="C18" i="44"/>
  <c r="C23" i="44"/>
  <c r="C21" i="59" s="1"/>
  <c r="C8" i="44"/>
  <c r="C19" i="44"/>
  <c r="N11" i="44"/>
  <c r="N9" i="59" s="1"/>
  <c r="N15" i="44"/>
  <c r="N13" i="59" s="1"/>
  <c r="N19" i="44"/>
  <c r="N17" i="59" s="1"/>
  <c r="N23" i="44"/>
  <c r="N21" i="59" s="1"/>
  <c r="N7" i="44"/>
  <c r="N5" i="59" s="1"/>
  <c r="N8" i="44"/>
  <c r="N6" i="59" s="1"/>
  <c r="N12" i="44"/>
  <c r="N10" i="59" s="1"/>
  <c r="N16" i="44"/>
  <c r="N14" i="59" s="1"/>
  <c r="N20" i="44"/>
  <c r="N18" i="59" s="1"/>
  <c r="N24" i="44"/>
  <c r="N22" i="59" s="1"/>
  <c r="N14" i="44"/>
  <c r="N12" i="59" s="1"/>
  <c r="N22" i="44"/>
  <c r="N20" i="59" s="1"/>
  <c r="N10" i="44"/>
  <c r="N8" i="59" s="1"/>
  <c r="N18" i="44"/>
  <c r="N16" i="59" s="1"/>
  <c r="N26" i="44"/>
  <c r="N24" i="59" s="1"/>
  <c r="N13" i="44"/>
  <c r="N11" i="59" s="1"/>
  <c r="N21" i="44"/>
  <c r="N19" i="59" s="1"/>
  <c r="N9" i="44"/>
  <c r="N7" i="59" s="1"/>
  <c r="N17" i="44"/>
  <c r="N15" i="59" s="1"/>
  <c r="N25" i="44"/>
  <c r="N23" i="59" s="1"/>
  <c r="L12" i="59"/>
  <c r="E11" i="44"/>
  <c r="E9" i="59" s="1"/>
  <c r="E15" i="44"/>
  <c r="E13" i="59" s="1"/>
  <c r="E19" i="44"/>
  <c r="E17" i="59" s="1"/>
  <c r="E23" i="44"/>
  <c r="E21" i="59" s="1"/>
  <c r="E9" i="44"/>
  <c r="E7" i="59" s="1"/>
  <c r="E13" i="44"/>
  <c r="E11" i="59" s="1"/>
  <c r="E17" i="44"/>
  <c r="E15" i="59" s="1"/>
  <c r="E21" i="44"/>
  <c r="E19" i="59" s="1"/>
  <c r="E25" i="44"/>
  <c r="E23" i="59" s="1"/>
  <c r="E14" i="44"/>
  <c r="E12" i="59" s="1"/>
  <c r="E22" i="44"/>
  <c r="E20" i="59" s="1"/>
  <c r="E8" i="44"/>
  <c r="E6" i="59" s="1"/>
  <c r="E16" i="44"/>
  <c r="E14" i="59" s="1"/>
  <c r="E24" i="44"/>
  <c r="E22" i="59" s="1"/>
  <c r="E10" i="44"/>
  <c r="E8" i="59" s="1"/>
  <c r="E18" i="44"/>
  <c r="E16" i="59" s="1"/>
  <c r="E26" i="44"/>
  <c r="E24" i="59" s="1"/>
  <c r="E12" i="44"/>
  <c r="E10" i="59" s="1"/>
  <c r="E20" i="44"/>
  <c r="E18" i="59" s="1"/>
  <c r="E7" i="44"/>
  <c r="E5" i="59" s="1"/>
  <c r="F17" i="59"/>
  <c r="K11" i="59"/>
  <c r="K17" i="59"/>
  <c r="F10" i="59"/>
  <c r="F8" i="59"/>
  <c r="K20" i="59"/>
  <c r="L7" i="59"/>
  <c r="L22" i="59"/>
  <c r="L6" i="59"/>
  <c r="L13" i="59"/>
  <c r="D9" i="44"/>
  <c r="D7" i="59" s="1"/>
  <c r="D13" i="44"/>
  <c r="D11" i="59" s="1"/>
  <c r="D17" i="44"/>
  <c r="D15" i="59" s="1"/>
  <c r="D21" i="44"/>
  <c r="D19" i="59" s="1"/>
  <c r="D25" i="44"/>
  <c r="D23" i="59" s="1"/>
  <c r="D8" i="44"/>
  <c r="D6" i="59" s="1"/>
  <c r="D14" i="44"/>
  <c r="D12" i="59" s="1"/>
  <c r="D19" i="44"/>
  <c r="D17" i="59" s="1"/>
  <c r="D24" i="44"/>
  <c r="D22" i="59" s="1"/>
  <c r="D23" i="44"/>
  <c r="D21" i="59" s="1"/>
  <c r="D10" i="44"/>
  <c r="D8" i="59" s="1"/>
  <c r="D15" i="44"/>
  <c r="D13" i="59" s="1"/>
  <c r="D20" i="44"/>
  <c r="D18" i="59" s="1"/>
  <c r="D26" i="44"/>
  <c r="D24" i="59" s="1"/>
  <c r="D18" i="44"/>
  <c r="D16" i="59" s="1"/>
  <c r="D11" i="44"/>
  <c r="D9" i="59" s="1"/>
  <c r="D16" i="44"/>
  <c r="D14" i="59" s="1"/>
  <c r="D22" i="44"/>
  <c r="D20" i="59" s="1"/>
  <c r="D7" i="44"/>
  <c r="D4" i="43" s="1"/>
  <c r="D12" i="44"/>
  <c r="D10" i="59" s="1"/>
  <c r="L20" i="59"/>
  <c r="G8" i="44"/>
  <c r="G6" i="59" s="1"/>
  <c r="G12" i="44"/>
  <c r="G10" i="59" s="1"/>
  <c r="G16" i="44"/>
  <c r="G14" i="59" s="1"/>
  <c r="G20" i="44"/>
  <c r="G18" i="59" s="1"/>
  <c r="G24" i="44"/>
  <c r="G22" i="59" s="1"/>
  <c r="G7" i="44"/>
  <c r="G5" i="59" s="1"/>
  <c r="G9" i="44"/>
  <c r="G7" i="59" s="1"/>
  <c r="G13" i="44"/>
  <c r="G11" i="59" s="1"/>
  <c r="G17" i="44"/>
  <c r="G15" i="59" s="1"/>
  <c r="G21" i="44"/>
  <c r="G19" i="59" s="1"/>
  <c r="G25" i="44"/>
  <c r="G23" i="59" s="1"/>
  <c r="G11" i="44"/>
  <c r="G9" i="59" s="1"/>
  <c r="G19" i="44"/>
  <c r="G17" i="59" s="1"/>
  <c r="G15" i="44"/>
  <c r="G13" i="59" s="1"/>
  <c r="G23" i="44"/>
  <c r="G21" i="59" s="1"/>
  <c r="G10" i="44"/>
  <c r="G8" i="59" s="1"/>
  <c r="G26" i="44"/>
  <c r="G24" i="59" s="1"/>
  <c r="G14" i="44"/>
  <c r="G12" i="59" s="1"/>
  <c r="G18" i="44"/>
  <c r="G16" i="59" s="1"/>
  <c r="G22" i="44"/>
  <c r="G20" i="59" s="1"/>
  <c r="L11" i="59"/>
  <c r="K13" i="59"/>
  <c r="F22" i="59"/>
  <c r="F23" i="59"/>
  <c r="F5" i="59"/>
  <c r="F6" i="59"/>
  <c r="K6" i="59"/>
  <c r="L19" i="59"/>
  <c r="L18" i="59"/>
  <c r="L5" i="59"/>
  <c r="L9" i="59"/>
  <c r="B41" i="66"/>
  <c r="C32" i="44"/>
  <c r="O32" i="44" s="1"/>
  <c r="J27" i="66"/>
  <c r="E25" i="66"/>
  <c r="E27" i="66" s="1"/>
  <c r="B27" i="66"/>
  <c r="A169" i="66"/>
  <c r="D15" i="66"/>
  <c r="D16" i="66" s="1"/>
  <c r="D171" i="66"/>
  <c r="A171" i="66" s="1"/>
  <c r="I16" i="43" l="1"/>
  <c r="E8" i="43"/>
  <c r="D9" i="43"/>
  <c r="N21" i="43"/>
  <c r="G22" i="43"/>
  <c r="M7" i="43"/>
  <c r="G10" i="43"/>
  <c r="E17" i="43"/>
  <c r="N14" i="43"/>
  <c r="M6" i="43"/>
  <c r="D14" i="43"/>
  <c r="E10" i="43"/>
  <c r="G15" i="43"/>
  <c r="I8" i="43"/>
  <c r="E12" i="43"/>
  <c r="G17" i="43"/>
  <c r="C5" i="43"/>
  <c r="C16" i="43"/>
  <c r="I13" i="43"/>
  <c r="E9" i="43"/>
  <c r="I22" i="43"/>
  <c r="D15" i="43"/>
  <c r="G20" i="43"/>
  <c r="N19" i="43"/>
  <c r="C19" i="43"/>
  <c r="C6" i="43"/>
  <c r="C9" i="43"/>
  <c r="C17" i="43"/>
  <c r="C12" i="43"/>
  <c r="C15" i="43"/>
  <c r="C18" i="43"/>
  <c r="I10" i="43"/>
  <c r="D13" i="43"/>
  <c r="D8" i="43"/>
  <c r="M22" i="43"/>
  <c r="E6" i="43"/>
  <c r="N9" i="43"/>
  <c r="N12" i="43"/>
  <c r="G19" i="43"/>
  <c r="D22" i="43"/>
  <c r="E18" i="43"/>
  <c r="I20" i="43"/>
  <c r="D11" i="43"/>
  <c r="M23" i="43"/>
  <c r="E7" i="43"/>
  <c r="N23" i="43"/>
  <c r="G7" i="43"/>
  <c r="D12" i="43"/>
  <c r="N5" i="43"/>
  <c r="I21" i="43"/>
  <c r="D5" i="43"/>
  <c r="D20" i="43"/>
  <c r="M11" i="43"/>
  <c r="E14" i="43"/>
  <c r="N11" i="43"/>
  <c r="G14" i="43"/>
  <c r="I6" i="43"/>
  <c r="M18" i="43"/>
  <c r="N15" i="43"/>
  <c r="D23" i="43"/>
  <c r="E4" i="43"/>
  <c r="E5" i="43"/>
  <c r="I11" i="43"/>
  <c r="N7" i="43"/>
  <c r="I5" i="43"/>
  <c r="M14" i="43"/>
  <c r="D19" i="43"/>
  <c r="C13" i="43"/>
  <c r="C4" i="43"/>
  <c r="C8" i="43"/>
  <c r="C11" i="43"/>
  <c r="C14" i="43"/>
  <c r="I7" i="43"/>
  <c r="D10" i="43"/>
  <c r="M19" i="43"/>
  <c r="E22" i="43"/>
  <c r="N6" i="43"/>
  <c r="G9" i="43"/>
  <c r="G8" i="43"/>
  <c r="M21" i="43"/>
  <c r="G21" i="43"/>
  <c r="I17" i="43"/>
  <c r="I12" i="43"/>
  <c r="D16" i="43"/>
  <c r="M13" i="43"/>
  <c r="M16" i="43"/>
  <c r="E23" i="43"/>
  <c r="N13" i="43"/>
  <c r="N20" i="43"/>
  <c r="G23" i="43"/>
  <c r="I9" i="43"/>
  <c r="M5" i="43"/>
  <c r="N18" i="43"/>
  <c r="I18" i="43"/>
  <c r="D21" i="43"/>
  <c r="M20" i="43"/>
  <c r="E11" i="43"/>
  <c r="N8" i="43"/>
  <c r="G11" i="43"/>
  <c r="I4" i="43"/>
  <c r="E21" i="43"/>
  <c r="G5" i="43"/>
  <c r="C22" i="43"/>
  <c r="C21" i="43"/>
  <c r="C20" i="43"/>
  <c r="C23" i="43"/>
  <c r="C7" i="43"/>
  <c r="C10" i="43"/>
  <c r="I23" i="43"/>
  <c r="D7" i="43"/>
  <c r="M9" i="43"/>
  <c r="M4" i="43"/>
  <c r="E19" i="43"/>
  <c r="N22" i="43"/>
  <c r="G6" i="43"/>
  <c r="M8" i="43"/>
  <c r="G16" i="43"/>
  <c r="I14" i="43"/>
  <c r="D17" i="43"/>
  <c r="M10" i="43"/>
  <c r="E13" i="43"/>
  <c r="E16" i="43"/>
  <c r="N10" i="43"/>
  <c r="G13" i="43"/>
  <c r="G4" i="43"/>
  <c r="I19" i="43"/>
  <c r="M15" i="43"/>
  <c r="N4" i="43"/>
  <c r="I15" i="43"/>
  <c r="D18" i="43"/>
  <c r="M17" i="43"/>
  <c r="M12" i="43"/>
  <c r="E20" i="43"/>
  <c r="N17" i="43"/>
  <c r="N16" i="43"/>
  <c r="G12" i="43"/>
  <c r="D6" i="43"/>
  <c r="E15" i="43"/>
  <c r="G18" i="43"/>
  <c r="C5" i="59"/>
  <c r="C14" i="59"/>
  <c r="C6" i="59"/>
  <c r="C17" i="59"/>
  <c r="C16" i="59"/>
  <c r="C23" i="59"/>
  <c r="C7" i="59"/>
  <c r="C10" i="59"/>
  <c r="C18" i="59"/>
  <c r="C19" i="59"/>
  <c r="C30" i="41"/>
  <c r="C30" i="42"/>
  <c r="C13" i="59"/>
  <c r="C12" i="59"/>
  <c r="C24" i="59"/>
  <c r="C8" i="59"/>
  <c r="C20" i="59"/>
  <c r="G9" i="65"/>
  <c r="G10" i="65"/>
  <c r="G11" i="65"/>
  <c r="G12" i="65"/>
  <c r="G13" i="65"/>
  <c r="G14" i="65"/>
  <c r="G15" i="65"/>
  <c r="G16" i="65"/>
  <c r="G17" i="65"/>
  <c r="G18" i="65"/>
  <c r="G19" i="65"/>
  <c r="G20" i="65"/>
  <c r="G21" i="65"/>
  <c r="G22" i="65"/>
  <c r="G23" i="65"/>
  <c r="G24" i="65"/>
  <c r="G25" i="65"/>
  <c r="G26" i="65"/>
  <c r="G27" i="65"/>
  <c r="G8" i="65"/>
  <c r="I91" i="15"/>
  <c r="K89" i="15"/>
  <c r="K90" i="15" s="1"/>
  <c r="I97" i="15" l="1"/>
  <c r="I94" i="15"/>
  <c r="I93" i="15"/>
  <c r="I95" i="15"/>
  <c r="C28" i="65"/>
  <c r="D11" i="65" s="1"/>
  <c r="E11" i="65" s="1"/>
  <c r="G28" i="65"/>
  <c r="D24" i="65" l="1"/>
  <c r="E24" i="65" s="1"/>
  <c r="D25" i="65"/>
  <c r="E25" i="65" s="1"/>
  <c r="D13" i="65"/>
  <c r="E13" i="65" s="1"/>
  <c r="D17" i="65"/>
  <c r="E17" i="65" s="1"/>
  <c r="D9" i="65"/>
  <c r="E9" i="65" s="1"/>
  <c r="I96" i="15"/>
  <c r="K96" i="15" s="1"/>
  <c r="F11" i="65" s="1"/>
  <c r="D23" i="65"/>
  <c r="E23" i="65" s="1"/>
  <c r="D18" i="65"/>
  <c r="E18" i="65" s="1"/>
  <c r="D14" i="65"/>
  <c r="E14" i="65" s="1"/>
  <c r="D10" i="65"/>
  <c r="E10" i="65" s="1"/>
  <c r="D22" i="65"/>
  <c r="E22" i="65" s="1"/>
  <c r="D26" i="65"/>
  <c r="E26" i="65" s="1"/>
  <c r="D16" i="65"/>
  <c r="E16" i="65" s="1"/>
  <c r="D12" i="65"/>
  <c r="E12" i="65" s="1"/>
  <c r="D8" i="65"/>
  <c r="D21" i="65"/>
  <c r="E21" i="65" s="1"/>
  <c r="D27" i="65"/>
  <c r="E27" i="65" s="1"/>
  <c r="D20" i="65"/>
  <c r="E20" i="65" s="1"/>
  <c r="D15" i="65"/>
  <c r="E15" i="65" s="1"/>
  <c r="D19" i="65"/>
  <c r="E19" i="65" s="1"/>
  <c r="F19" i="65" l="1"/>
  <c r="F21" i="65"/>
  <c r="F15" i="65"/>
  <c r="F17" i="65"/>
  <c r="F22" i="65"/>
  <c r="F23" i="65"/>
  <c r="F27" i="65"/>
  <c r="F16" i="65"/>
  <c r="F14" i="65"/>
  <c r="F12" i="65"/>
  <c r="F10" i="65"/>
  <c r="F13" i="65"/>
  <c r="F20" i="65"/>
  <c r="F26" i="65"/>
  <c r="F18" i="65"/>
  <c r="F9" i="65"/>
  <c r="F24" i="65"/>
  <c r="F25" i="65"/>
  <c r="D28" i="65"/>
  <c r="E8" i="65"/>
  <c r="F8" i="65" s="1"/>
  <c r="E28" i="65" l="1"/>
  <c r="F28" i="65" l="1"/>
  <c r="I37" i="18" l="1"/>
  <c r="J37" i="18"/>
  <c r="I38" i="18"/>
  <c r="J38" i="18"/>
  <c r="I39" i="18"/>
  <c r="J39" i="18"/>
  <c r="I40" i="18"/>
  <c r="J40" i="18"/>
  <c r="I41" i="18"/>
  <c r="J41" i="18"/>
  <c r="I42" i="18"/>
  <c r="J42" i="18"/>
  <c r="I43" i="18"/>
  <c r="J43" i="18"/>
  <c r="I44" i="18"/>
  <c r="J44" i="18"/>
  <c r="I45" i="18"/>
  <c r="J45" i="18"/>
  <c r="I46" i="18"/>
  <c r="J46" i="18"/>
  <c r="I47" i="18"/>
  <c r="J47" i="18"/>
  <c r="I48" i="18"/>
  <c r="J48" i="18"/>
  <c r="I49" i="18"/>
  <c r="J49" i="18"/>
  <c r="I50" i="18"/>
  <c r="J50" i="18"/>
  <c r="I51" i="18"/>
  <c r="J51" i="18"/>
  <c r="I52" i="18"/>
  <c r="J52" i="18"/>
  <c r="I53" i="18"/>
  <c r="J53" i="18"/>
  <c r="I54" i="18"/>
  <c r="J54" i="18"/>
  <c r="I55" i="18"/>
  <c r="J55" i="18"/>
  <c r="J36" i="18"/>
  <c r="I36" i="18"/>
  <c r="F37" i="18"/>
  <c r="G37" i="18"/>
  <c r="F38" i="18"/>
  <c r="G38" i="18"/>
  <c r="F39" i="18"/>
  <c r="G39" i="18"/>
  <c r="F40" i="18"/>
  <c r="G40" i="18"/>
  <c r="F41" i="18"/>
  <c r="G41" i="18"/>
  <c r="F42" i="18"/>
  <c r="G42" i="18"/>
  <c r="F43" i="18"/>
  <c r="G43" i="18"/>
  <c r="F44" i="18"/>
  <c r="G44" i="18"/>
  <c r="F45" i="18"/>
  <c r="G45" i="18"/>
  <c r="F46" i="18"/>
  <c r="G46" i="18"/>
  <c r="F47" i="18"/>
  <c r="G47" i="18"/>
  <c r="F48" i="18"/>
  <c r="G48" i="18"/>
  <c r="F49" i="18"/>
  <c r="G49" i="18"/>
  <c r="F50" i="18"/>
  <c r="G50" i="18"/>
  <c r="F51" i="18"/>
  <c r="G51" i="18"/>
  <c r="F52" i="18"/>
  <c r="G52" i="18"/>
  <c r="F53" i="18"/>
  <c r="G53" i="18"/>
  <c r="F54" i="18"/>
  <c r="G54" i="18"/>
  <c r="F55" i="18"/>
  <c r="G55" i="18"/>
  <c r="G36" i="18"/>
  <c r="F36" i="18"/>
  <c r="O32" i="39" l="1"/>
  <c r="O31" i="41"/>
  <c r="O31" i="45" l="1"/>
  <c r="O36" i="21"/>
  <c r="B8" i="47" l="1"/>
  <c r="B9" i="47"/>
  <c r="B10" i="47"/>
  <c r="B11" i="47"/>
  <c r="B14" i="47"/>
  <c r="B15" i="47"/>
  <c r="B16" i="47"/>
  <c r="B18" i="47"/>
  <c r="B19" i="47"/>
  <c r="B21" i="47"/>
  <c r="B23" i="47"/>
  <c r="B24" i="47"/>
  <c r="B26" i="47"/>
  <c r="B7" i="47"/>
  <c r="N32" i="41"/>
  <c r="M32" i="41"/>
  <c r="L32" i="41"/>
  <c r="K32" i="41"/>
  <c r="J32" i="41"/>
  <c r="I32" i="41"/>
  <c r="H32" i="41"/>
  <c r="G32" i="41"/>
  <c r="F32" i="41"/>
  <c r="E32" i="41"/>
  <c r="D33" i="39" l="1"/>
  <c r="G33" i="39"/>
  <c r="K33" i="39"/>
  <c r="L33" i="39"/>
  <c r="E33" i="39"/>
  <c r="I33" i="39"/>
  <c r="M33" i="39"/>
  <c r="H33" i="39"/>
  <c r="F33" i="39"/>
  <c r="J33" i="39"/>
  <c r="N33" i="39"/>
  <c r="D32" i="41"/>
  <c r="C32" i="41" l="1"/>
  <c r="O30" i="41"/>
  <c r="O32" i="41" s="1"/>
  <c r="C33" i="39"/>
  <c r="O29" i="63" l="1"/>
  <c r="N23" i="63"/>
  <c r="M23" i="63"/>
  <c r="L23" i="63"/>
  <c r="K23" i="63"/>
  <c r="J23" i="63"/>
  <c r="I23" i="63"/>
  <c r="H23" i="63"/>
  <c r="G23" i="63"/>
  <c r="F23" i="63"/>
  <c r="E23" i="63"/>
  <c r="D23" i="63"/>
  <c r="C23" i="63"/>
  <c r="N22" i="63"/>
  <c r="M22" i="63"/>
  <c r="L22" i="63"/>
  <c r="K22" i="63"/>
  <c r="J22" i="63"/>
  <c r="I22" i="63"/>
  <c r="H22" i="63"/>
  <c r="G22" i="63"/>
  <c r="F22" i="63"/>
  <c r="E22" i="63"/>
  <c r="D22" i="63"/>
  <c r="C22" i="63"/>
  <c r="N21" i="63"/>
  <c r="M21" i="63"/>
  <c r="L21" i="63"/>
  <c r="K21" i="63"/>
  <c r="J21" i="63"/>
  <c r="I21" i="63"/>
  <c r="H21" i="63"/>
  <c r="G21" i="63"/>
  <c r="F21" i="63"/>
  <c r="E21" i="63"/>
  <c r="D21" i="63"/>
  <c r="C21" i="63"/>
  <c r="N20" i="63"/>
  <c r="M20" i="63"/>
  <c r="L20" i="63"/>
  <c r="K20" i="63"/>
  <c r="J20" i="63"/>
  <c r="I20" i="63"/>
  <c r="H20" i="63"/>
  <c r="G20" i="63"/>
  <c r="F20" i="63"/>
  <c r="E20" i="63"/>
  <c r="D20" i="63"/>
  <c r="C20" i="63"/>
  <c r="N19" i="63"/>
  <c r="M19" i="63"/>
  <c r="L19" i="63"/>
  <c r="K19" i="63"/>
  <c r="J19" i="63"/>
  <c r="I19" i="63"/>
  <c r="H19" i="63"/>
  <c r="G19" i="63"/>
  <c r="F19" i="63"/>
  <c r="E19" i="63"/>
  <c r="D19" i="63"/>
  <c r="C19" i="63"/>
  <c r="N18" i="63"/>
  <c r="M18" i="63"/>
  <c r="L18" i="63"/>
  <c r="K18" i="63"/>
  <c r="J18" i="63"/>
  <c r="I18" i="63"/>
  <c r="H18" i="63"/>
  <c r="G18" i="63"/>
  <c r="F18" i="63"/>
  <c r="E18" i="63"/>
  <c r="D18" i="63"/>
  <c r="C18" i="63"/>
  <c r="N17" i="63"/>
  <c r="M17" i="63"/>
  <c r="L17" i="63"/>
  <c r="K17" i="63"/>
  <c r="J17" i="63"/>
  <c r="I17" i="63"/>
  <c r="H17" i="63"/>
  <c r="G17" i="63"/>
  <c r="F17" i="63"/>
  <c r="E17" i="63"/>
  <c r="D17" i="63"/>
  <c r="C17" i="63"/>
  <c r="N16" i="63"/>
  <c r="M16" i="63"/>
  <c r="L16" i="63"/>
  <c r="K16" i="63"/>
  <c r="J16" i="63"/>
  <c r="I16" i="63"/>
  <c r="H16" i="63"/>
  <c r="G16" i="63"/>
  <c r="F16" i="63"/>
  <c r="E16" i="63"/>
  <c r="D16" i="63"/>
  <c r="C16" i="63"/>
  <c r="N15" i="63"/>
  <c r="M15" i="63"/>
  <c r="L15" i="63"/>
  <c r="K15" i="63"/>
  <c r="J15" i="63"/>
  <c r="I15" i="63"/>
  <c r="H15" i="63"/>
  <c r="G15" i="63"/>
  <c r="F15" i="63"/>
  <c r="E15" i="63"/>
  <c r="D15" i="63"/>
  <c r="C15" i="63"/>
  <c r="N14" i="63"/>
  <c r="M14" i="63"/>
  <c r="L14" i="63"/>
  <c r="K14" i="63"/>
  <c r="J14" i="63"/>
  <c r="I14" i="63"/>
  <c r="H14" i="63"/>
  <c r="G14" i="63"/>
  <c r="F14" i="63"/>
  <c r="E14" i="63"/>
  <c r="D14" i="63"/>
  <c r="C14" i="63"/>
  <c r="N13" i="63"/>
  <c r="M13" i="63"/>
  <c r="L13" i="63"/>
  <c r="K13" i="63"/>
  <c r="J13" i="63"/>
  <c r="I13" i="63"/>
  <c r="H13" i="63"/>
  <c r="G13" i="63"/>
  <c r="F13" i="63"/>
  <c r="E13" i="63"/>
  <c r="D13" i="63"/>
  <c r="C13" i="63"/>
  <c r="N12" i="63"/>
  <c r="M12" i="63"/>
  <c r="L12" i="63"/>
  <c r="K12" i="63"/>
  <c r="J12" i="63"/>
  <c r="I12" i="63"/>
  <c r="H12" i="63"/>
  <c r="G12" i="63"/>
  <c r="F12" i="63"/>
  <c r="E12" i="63"/>
  <c r="D12" i="63"/>
  <c r="C12" i="63"/>
  <c r="N11" i="63"/>
  <c r="M11" i="63"/>
  <c r="L11" i="63"/>
  <c r="K11" i="63"/>
  <c r="J11" i="63"/>
  <c r="I11" i="63"/>
  <c r="H11" i="63"/>
  <c r="G11" i="63"/>
  <c r="F11" i="63"/>
  <c r="E11" i="63"/>
  <c r="D11" i="63"/>
  <c r="C11" i="63"/>
  <c r="N10" i="63"/>
  <c r="M10" i="63"/>
  <c r="L10" i="63"/>
  <c r="K10" i="63"/>
  <c r="J10" i="63"/>
  <c r="I10" i="63"/>
  <c r="H10" i="63"/>
  <c r="G10" i="63"/>
  <c r="F10" i="63"/>
  <c r="E10" i="63"/>
  <c r="D10" i="63"/>
  <c r="C10" i="63"/>
  <c r="N9" i="63"/>
  <c r="M9" i="63"/>
  <c r="L9" i="63"/>
  <c r="K9" i="63"/>
  <c r="J9" i="63"/>
  <c r="I9" i="63"/>
  <c r="H9" i="63"/>
  <c r="G9" i="63"/>
  <c r="F9" i="63"/>
  <c r="E9" i="63"/>
  <c r="D9" i="63"/>
  <c r="C9" i="63"/>
  <c r="N8" i="63"/>
  <c r="M8" i="63"/>
  <c r="L8" i="63"/>
  <c r="K8" i="63"/>
  <c r="J8" i="63"/>
  <c r="I8" i="63"/>
  <c r="H8" i="63"/>
  <c r="G8" i="63"/>
  <c r="F8" i="63"/>
  <c r="E8" i="63"/>
  <c r="D8" i="63"/>
  <c r="C8" i="63"/>
  <c r="N7" i="63"/>
  <c r="M7" i="63"/>
  <c r="L7" i="63"/>
  <c r="K7" i="63"/>
  <c r="J7" i="63"/>
  <c r="I7" i="63"/>
  <c r="H7" i="63"/>
  <c r="G7" i="63"/>
  <c r="F7" i="63"/>
  <c r="E7" i="63"/>
  <c r="D7" i="63"/>
  <c r="C7" i="63"/>
  <c r="N6" i="63"/>
  <c r="M6" i="63"/>
  <c r="L6" i="63"/>
  <c r="K6" i="63"/>
  <c r="J6" i="63"/>
  <c r="I6" i="63"/>
  <c r="H6" i="63"/>
  <c r="G6" i="63"/>
  <c r="F6" i="63"/>
  <c r="E6" i="63"/>
  <c r="D6" i="63"/>
  <c r="C6" i="63"/>
  <c r="N5" i="63"/>
  <c r="M5" i="63"/>
  <c r="L5" i="63"/>
  <c r="K5" i="63"/>
  <c r="J5" i="63"/>
  <c r="I5" i="63"/>
  <c r="H5" i="63"/>
  <c r="G5" i="63"/>
  <c r="F5" i="63"/>
  <c r="E5" i="63"/>
  <c r="D5" i="63"/>
  <c r="C5" i="63"/>
  <c r="B4" i="63"/>
  <c r="G4" i="63" s="1"/>
  <c r="M23" i="61"/>
  <c r="L23" i="61"/>
  <c r="K23" i="61"/>
  <c r="J23" i="61"/>
  <c r="I23" i="61"/>
  <c r="H23" i="61"/>
  <c r="G23" i="61"/>
  <c r="F23" i="61"/>
  <c r="E23" i="61"/>
  <c r="D23" i="61"/>
  <c r="C23" i="61"/>
  <c r="B23" i="61"/>
  <c r="M22" i="61"/>
  <c r="L22" i="61"/>
  <c r="K22" i="61"/>
  <c r="J22" i="61"/>
  <c r="I22" i="61"/>
  <c r="H22" i="61"/>
  <c r="G22" i="61"/>
  <c r="F22" i="61"/>
  <c r="E22" i="61"/>
  <c r="D22" i="61"/>
  <c r="C22" i="61"/>
  <c r="B22" i="61"/>
  <c r="M21" i="61"/>
  <c r="L21" i="61"/>
  <c r="K21" i="61"/>
  <c r="J21" i="61"/>
  <c r="I21" i="61"/>
  <c r="H21" i="61"/>
  <c r="G21" i="61"/>
  <c r="F21" i="61"/>
  <c r="E21" i="61"/>
  <c r="D21" i="61"/>
  <c r="C21" i="61"/>
  <c r="B21" i="61"/>
  <c r="M20" i="61"/>
  <c r="L20" i="61"/>
  <c r="K20" i="61"/>
  <c r="J20" i="61"/>
  <c r="I20" i="61"/>
  <c r="H20" i="61"/>
  <c r="G20" i="61"/>
  <c r="F20" i="61"/>
  <c r="E20" i="61"/>
  <c r="D20" i="61"/>
  <c r="C20" i="61"/>
  <c r="B20" i="61"/>
  <c r="M19" i="61"/>
  <c r="L19" i="61"/>
  <c r="K19" i="61"/>
  <c r="J19" i="61"/>
  <c r="I19" i="61"/>
  <c r="H19" i="61"/>
  <c r="G19" i="61"/>
  <c r="F19" i="61"/>
  <c r="E19" i="61"/>
  <c r="D19" i="61"/>
  <c r="C19" i="61"/>
  <c r="B19" i="61"/>
  <c r="M18" i="61"/>
  <c r="L18" i="61"/>
  <c r="K18" i="61"/>
  <c r="J18" i="61"/>
  <c r="I18" i="61"/>
  <c r="H18" i="61"/>
  <c r="G18" i="61"/>
  <c r="F18" i="61"/>
  <c r="E18" i="61"/>
  <c r="D18" i="61"/>
  <c r="C18" i="61"/>
  <c r="B18" i="61"/>
  <c r="M17" i="61"/>
  <c r="L17" i="61"/>
  <c r="K17" i="61"/>
  <c r="J17" i="61"/>
  <c r="I17" i="61"/>
  <c r="H17" i="61"/>
  <c r="G17" i="61"/>
  <c r="F17" i="61"/>
  <c r="E17" i="61"/>
  <c r="D17" i="61"/>
  <c r="C17" i="61"/>
  <c r="B17" i="61"/>
  <c r="M16" i="61"/>
  <c r="L16" i="61"/>
  <c r="K16" i="61"/>
  <c r="J16" i="61"/>
  <c r="I16" i="61"/>
  <c r="H16" i="61"/>
  <c r="G16" i="61"/>
  <c r="F16" i="61"/>
  <c r="E16" i="61"/>
  <c r="D16" i="61"/>
  <c r="C16" i="61"/>
  <c r="B16" i="61"/>
  <c r="M15" i="61"/>
  <c r="L15" i="61"/>
  <c r="K15" i="61"/>
  <c r="J15" i="61"/>
  <c r="I15" i="61"/>
  <c r="H15" i="61"/>
  <c r="G15" i="61"/>
  <c r="F15" i="61"/>
  <c r="E15" i="61"/>
  <c r="D15" i="61"/>
  <c r="C15" i="61"/>
  <c r="B15" i="61"/>
  <c r="M14" i="61"/>
  <c r="L14" i="61"/>
  <c r="K14" i="61"/>
  <c r="J14" i="61"/>
  <c r="I14" i="61"/>
  <c r="H14" i="61"/>
  <c r="G14" i="61"/>
  <c r="F14" i="61"/>
  <c r="E14" i="61"/>
  <c r="D14" i="61"/>
  <c r="C14" i="61"/>
  <c r="B14" i="61"/>
  <c r="M13" i="61"/>
  <c r="L13" i="61"/>
  <c r="K13" i="61"/>
  <c r="J13" i="61"/>
  <c r="I13" i="61"/>
  <c r="H13" i="61"/>
  <c r="G13" i="61"/>
  <c r="F13" i="61"/>
  <c r="E13" i="61"/>
  <c r="D13" i="61"/>
  <c r="C13" i="61"/>
  <c r="B13" i="61"/>
  <c r="M12" i="61"/>
  <c r="L12" i="61"/>
  <c r="K12" i="61"/>
  <c r="J12" i="61"/>
  <c r="I12" i="61"/>
  <c r="H12" i="61"/>
  <c r="G12" i="61"/>
  <c r="F12" i="61"/>
  <c r="E12" i="61"/>
  <c r="D12" i="61"/>
  <c r="C12" i="61"/>
  <c r="B12" i="61"/>
  <c r="M11" i="61"/>
  <c r="L11" i="61"/>
  <c r="K11" i="61"/>
  <c r="J11" i="61"/>
  <c r="I11" i="61"/>
  <c r="H11" i="61"/>
  <c r="G11" i="61"/>
  <c r="F11" i="61"/>
  <c r="E11" i="61"/>
  <c r="D11" i="61"/>
  <c r="C11" i="61"/>
  <c r="B11" i="61"/>
  <c r="M10" i="61"/>
  <c r="L10" i="61"/>
  <c r="K10" i="61"/>
  <c r="J10" i="61"/>
  <c r="I10" i="61"/>
  <c r="H10" i="61"/>
  <c r="G10" i="61"/>
  <c r="F10" i="61"/>
  <c r="E10" i="61"/>
  <c r="D10" i="61"/>
  <c r="C10" i="61"/>
  <c r="B10" i="61"/>
  <c r="M9" i="61"/>
  <c r="L9" i="61"/>
  <c r="K9" i="61"/>
  <c r="J9" i="61"/>
  <c r="I9" i="61"/>
  <c r="H9" i="61"/>
  <c r="G9" i="61"/>
  <c r="F9" i="61"/>
  <c r="E9" i="61"/>
  <c r="D9" i="61"/>
  <c r="C9" i="61"/>
  <c r="B9" i="61"/>
  <c r="M8" i="61"/>
  <c r="L8" i="61"/>
  <c r="K8" i="61"/>
  <c r="J8" i="61"/>
  <c r="I8" i="61"/>
  <c r="H8" i="61"/>
  <c r="G8" i="61"/>
  <c r="F8" i="61"/>
  <c r="E8" i="61"/>
  <c r="D8" i="61"/>
  <c r="C8" i="61"/>
  <c r="B8" i="61"/>
  <c r="M7" i="61"/>
  <c r="L7" i="61"/>
  <c r="K7" i="61"/>
  <c r="J7" i="61"/>
  <c r="I7" i="61"/>
  <c r="H7" i="61"/>
  <c r="G7" i="61"/>
  <c r="F7" i="61"/>
  <c r="E7" i="61"/>
  <c r="D7" i="61"/>
  <c r="C7" i="61"/>
  <c r="B7" i="61"/>
  <c r="M6" i="61"/>
  <c r="L6" i="61"/>
  <c r="K6" i="61"/>
  <c r="J6" i="61"/>
  <c r="I6" i="61"/>
  <c r="H6" i="61"/>
  <c r="G6" i="61"/>
  <c r="F6" i="61"/>
  <c r="E6" i="61"/>
  <c r="D6" i="61"/>
  <c r="C6" i="61"/>
  <c r="B6" i="61"/>
  <c r="M5" i="61"/>
  <c r="L5" i="61"/>
  <c r="K5" i="61"/>
  <c r="J5" i="61"/>
  <c r="I5" i="61"/>
  <c r="H5" i="61"/>
  <c r="G5" i="61"/>
  <c r="F5" i="61"/>
  <c r="E5" i="61"/>
  <c r="D5" i="61"/>
  <c r="C5" i="61"/>
  <c r="B5" i="61"/>
  <c r="M4" i="61"/>
  <c r="M24" i="61" s="1"/>
  <c r="L4" i="61"/>
  <c r="K4" i="61"/>
  <c r="K24" i="61" s="1"/>
  <c r="J4" i="61"/>
  <c r="I4" i="61"/>
  <c r="H4" i="61"/>
  <c r="G4" i="61"/>
  <c r="G24" i="61" s="1"/>
  <c r="F4" i="61"/>
  <c r="E4" i="61"/>
  <c r="E24" i="61" s="1"/>
  <c r="D4" i="61"/>
  <c r="C4" i="61"/>
  <c r="C24" i="61" s="1"/>
  <c r="B4" i="61"/>
  <c r="B24" i="60"/>
  <c r="N23" i="60"/>
  <c r="M23" i="60"/>
  <c r="L23" i="60"/>
  <c r="K23" i="60"/>
  <c r="J23" i="60"/>
  <c r="I23" i="60"/>
  <c r="H23" i="60"/>
  <c r="G23" i="60"/>
  <c r="F23" i="60"/>
  <c r="E23" i="60"/>
  <c r="D23" i="60"/>
  <c r="C23" i="60"/>
  <c r="N22" i="60"/>
  <c r="M22" i="60"/>
  <c r="L22" i="60"/>
  <c r="K22" i="60"/>
  <c r="J22" i="60"/>
  <c r="I22" i="60"/>
  <c r="H22" i="60"/>
  <c r="G22" i="60"/>
  <c r="F22" i="60"/>
  <c r="E22" i="60"/>
  <c r="D22" i="60"/>
  <c r="C22" i="60"/>
  <c r="N21" i="60"/>
  <c r="M21" i="60"/>
  <c r="L21" i="60"/>
  <c r="K21" i="60"/>
  <c r="J21" i="60"/>
  <c r="I21" i="60"/>
  <c r="H21" i="60"/>
  <c r="G21" i="60"/>
  <c r="F21" i="60"/>
  <c r="E21" i="60"/>
  <c r="D21" i="60"/>
  <c r="C21" i="60"/>
  <c r="N20" i="60"/>
  <c r="M20" i="60"/>
  <c r="L20" i="60"/>
  <c r="K20" i="60"/>
  <c r="J20" i="60"/>
  <c r="I20" i="60"/>
  <c r="H20" i="60"/>
  <c r="G20" i="60"/>
  <c r="F20" i="60"/>
  <c r="E20" i="60"/>
  <c r="D20" i="60"/>
  <c r="C20" i="60"/>
  <c r="N19" i="60"/>
  <c r="M19" i="60"/>
  <c r="L19" i="60"/>
  <c r="K19" i="60"/>
  <c r="J19" i="60"/>
  <c r="I19" i="60"/>
  <c r="H19" i="60"/>
  <c r="G19" i="60"/>
  <c r="F19" i="60"/>
  <c r="E19" i="60"/>
  <c r="D19" i="60"/>
  <c r="C19" i="60"/>
  <c r="N18" i="60"/>
  <c r="M18" i="60"/>
  <c r="L18" i="60"/>
  <c r="K18" i="60"/>
  <c r="J18" i="60"/>
  <c r="I18" i="60"/>
  <c r="H18" i="60"/>
  <c r="G18" i="60"/>
  <c r="F18" i="60"/>
  <c r="E18" i="60"/>
  <c r="D18" i="60"/>
  <c r="C18" i="60"/>
  <c r="N17" i="60"/>
  <c r="M17" i="60"/>
  <c r="L17" i="60"/>
  <c r="K17" i="60"/>
  <c r="J17" i="60"/>
  <c r="I17" i="60"/>
  <c r="H17" i="60"/>
  <c r="G17" i="60"/>
  <c r="F17" i="60"/>
  <c r="E17" i="60"/>
  <c r="D17" i="60"/>
  <c r="C17" i="60"/>
  <c r="N16" i="60"/>
  <c r="M16" i="60"/>
  <c r="L16" i="60"/>
  <c r="K16" i="60"/>
  <c r="J16" i="60"/>
  <c r="I16" i="60"/>
  <c r="H16" i="60"/>
  <c r="G16" i="60"/>
  <c r="F16" i="60"/>
  <c r="E16" i="60"/>
  <c r="D16" i="60"/>
  <c r="C16" i="60"/>
  <c r="N15" i="60"/>
  <c r="M15" i="60"/>
  <c r="L15" i="60"/>
  <c r="K15" i="60"/>
  <c r="J15" i="60"/>
  <c r="I15" i="60"/>
  <c r="H15" i="60"/>
  <c r="G15" i="60"/>
  <c r="F15" i="60"/>
  <c r="E15" i="60"/>
  <c r="D15" i="60"/>
  <c r="C15" i="60"/>
  <c r="N14" i="60"/>
  <c r="M14" i="60"/>
  <c r="L14" i="60"/>
  <c r="K14" i="60"/>
  <c r="J14" i="60"/>
  <c r="I14" i="60"/>
  <c r="H14" i="60"/>
  <c r="G14" i="60"/>
  <c r="F14" i="60"/>
  <c r="E14" i="60"/>
  <c r="D14" i="60"/>
  <c r="C14" i="60"/>
  <c r="N13" i="60"/>
  <c r="M13" i="60"/>
  <c r="L13" i="60"/>
  <c r="K13" i="60"/>
  <c r="J13" i="60"/>
  <c r="I13" i="60"/>
  <c r="H13" i="60"/>
  <c r="G13" i="60"/>
  <c r="F13" i="60"/>
  <c r="E13" i="60"/>
  <c r="D13" i="60"/>
  <c r="C13" i="60"/>
  <c r="N12" i="60"/>
  <c r="M12" i="60"/>
  <c r="L12" i="60"/>
  <c r="K12" i="60"/>
  <c r="J12" i="60"/>
  <c r="I12" i="60"/>
  <c r="H12" i="60"/>
  <c r="G12" i="60"/>
  <c r="F12" i="60"/>
  <c r="E12" i="60"/>
  <c r="D12" i="60"/>
  <c r="C12" i="60"/>
  <c r="N11" i="60"/>
  <c r="M11" i="60"/>
  <c r="L11" i="60"/>
  <c r="K11" i="60"/>
  <c r="J11" i="60"/>
  <c r="I11" i="60"/>
  <c r="H11" i="60"/>
  <c r="G11" i="60"/>
  <c r="F11" i="60"/>
  <c r="E11" i="60"/>
  <c r="D11" i="60"/>
  <c r="C11" i="60"/>
  <c r="N10" i="60"/>
  <c r="M10" i="60"/>
  <c r="L10" i="60"/>
  <c r="K10" i="60"/>
  <c r="J10" i="60"/>
  <c r="I10" i="60"/>
  <c r="H10" i="60"/>
  <c r="G10" i="60"/>
  <c r="F10" i="60"/>
  <c r="E10" i="60"/>
  <c r="D10" i="60"/>
  <c r="C10" i="60"/>
  <c r="N9" i="60"/>
  <c r="M9" i="60"/>
  <c r="L9" i="60"/>
  <c r="K9" i="60"/>
  <c r="J9" i="60"/>
  <c r="I9" i="60"/>
  <c r="H9" i="60"/>
  <c r="G9" i="60"/>
  <c r="F9" i="60"/>
  <c r="E9" i="60"/>
  <c r="D9" i="60"/>
  <c r="C9" i="60"/>
  <c r="N8" i="60"/>
  <c r="M8" i="60"/>
  <c r="L8" i="60"/>
  <c r="K8" i="60"/>
  <c r="J8" i="60"/>
  <c r="I8" i="60"/>
  <c r="H8" i="60"/>
  <c r="G8" i="60"/>
  <c r="F8" i="60"/>
  <c r="E8" i="60"/>
  <c r="D8" i="60"/>
  <c r="C8" i="60"/>
  <c r="N7" i="60"/>
  <c r="M7" i="60"/>
  <c r="L7" i="60"/>
  <c r="K7" i="60"/>
  <c r="J7" i="60"/>
  <c r="I7" i="60"/>
  <c r="H7" i="60"/>
  <c r="G7" i="60"/>
  <c r="F7" i="60"/>
  <c r="E7" i="60"/>
  <c r="D7" i="60"/>
  <c r="C7" i="60"/>
  <c r="N6" i="60"/>
  <c r="M6" i="60"/>
  <c r="L6" i="60"/>
  <c r="K6" i="60"/>
  <c r="J6" i="60"/>
  <c r="I6" i="60"/>
  <c r="H6" i="60"/>
  <c r="G6" i="60"/>
  <c r="F6" i="60"/>
  <c r="E6" i="60"/>
  <c r="D6" i="60"/>
  <c r="C6" i="60"/>
  <c r="N5" i="60"/>
  <c r="M5" i="60"/>
  <c r="L5" i="60"/>
  <c r="K5" i="60"/>
  <c r="J5" i="60"/>
  <c r="I5" i="60"/>
  <c r="H5" i="60"/>
  <c r="G5" i="60"/>
  <c r="F5" i="60"/>
  <c r="E5" i="60"/>
  <c r="D5" i="60"/>
  <c r="C5" i="60"/>
  <c r="N4" i="60"/>
  <c r="M4" i="60"/>
  <c r="L4" i="60"/>
  <c r="L24" i="60" s="1"/>
  <c r="K4" i="60"/>
  <c r="J4" i="60"/>
  <c r="I4" i="60"/>
  <c r="H4" i="60"/>
  <c r="G4" i="60"/>
  <c r="F4" i="60"/>
  <c r="E4" i="60"/>
  <c r="D4" i="60"/>
  <c r="C4" i="60"/>
  <c r="N26" i="59"/>
  <c r="M26" i="59"/>
  <c r="L26" i="59"/>
  <c r="K26" i="59"/>
  <c r="J26" i="59"/>
  <c r="I26" i="59"/>
  <c r="H26" i="59"/>
  <c r="G26" i="59"/>
  <c r="F26" i="59"/>
  <c r="E26" i="59"/>
  <c r="D26" i="59"/>
  <c r="C26" i="59"/>
  <c r="B25" i="59"/>
  <c r="M25" i="59"/>
  <c r="E25" i="59"/>
  <c r="B24" i="57"/>
  <c r="B24" i="56"/>
  <c r="O5" i="63" l="1"/>
  <c r="O6" i="63"/>
  <c r="O8" i="63"/>
  <c r="O12" i="63"/>
  <c r="O13" i="63"/>
  <c r="O7" i="63"/>
  <c r="O14" i="63"/>
  <c r="O15" i="63"/>
  <c r="O16" i="63"/>
  <c r="O17" i="63"/>
  <c r="O20" i="63"/>
  <c r="O21" i="63"/>
  <c r="O22" i="63"/>
  <c r="O23" i="63"/>
  <c r="I4" i="63"/>
  <c r="I24" i="63" s="1"/>
  <c r="E27" i="59"/>
  <c r="M27" i="59"/>
  <c r="I24" i="60"/>
  <c r="C25" i="59"/>
  <c r="C27" i="59" s="1"/>
  <c r="G25" i="59"/>
  <c r="G27" i="59" s="1"/>
  <c r="K25" i="59"/>
  <c r="K27" i="59" s="1"/>
  <c r="O8" i="59"/>
  <c r="O9" i="59"/>
  <c r="O10" i="59"/>
  <c r="O11" i="59"/>
  <c r="O12" i="59"/>
  <c r="O13" i="59"/>
  <c r="O14" i="59"/>
  <c r="O15" i="59"/>
  <c r="O16" i="59"/>
  <c r="O19" i="59"/>
  <c r="O20" i="59"/>
  <c r="O22" i="59"/>
  <c r="O23" i="59"/>
  <c r="O24" i="59"/>
  <c r="H25" i="59"/>
  <c r="H27" i="59" s="1"/>
  <c r="L25" i="59"/>
  <c r="L27" i="59" s="1"/>
  <c r="C24" i="60"/>
  <c r="O6" i="60"/>
  <c r="G24" i="60"/>
  <c r="K24" i="60"/>
  <c r="O7" i="60"/>
  <c r="O9" i="60"/>
  <c r="O11" i="60"/>
  <c r="O12" i="60"/>
  <c r="O13" i="60"/>
  <c r="O14" i="60"/>
  <c r="O15" i="60"/>
  <c r="O17" i="60"/>
  <c r="O19" i="60"/>
  <c r="O21" i="60"/>
  <c r="O22" i="60"/>
  <c r="D24" i="60"/>
  <c r="N5" i="61"/>
  <c r="J24" i="61"/>
  <c r="N7" i="61"/>
  <c r="B24" i="61"/>
  <c r="N11" i="61"/>
  <c r="N12" i="61"/>
  <c r="N13" i="61"/>
  <c r="N16" i="61"/>
  <c r="N17" i="61"/>
  <c r="N18" i="61"/>
  <c r="N19" i="61"/>
  <c r="N21" i="61"/>
  <c r="N23" i="61"/>
  <c r="D4" i="63"/>
  <c r="D24" i="63" s="1"/>
  <c r="B24" i="63"/>
  <c r="N4" i="63"/>
  <c r="N24" i="63" s="1"/>
  <c r="M4" i="63"/>
  <c r="M24" i="63" s="1"/>
  <c r="H4" i="63"/>
  <c r="H24" i="63" s="1"/>
  <c r="C4" i="63"/>
  <c r="C24" i="63" s="1"/>
  <c r="K4" i="63"/>
  <c r="K24" i="63" s="1"/>
  <c r="E4" i="63"/>
  <c r="E24" i="63" s="1"/>
  <c r="L4" i="63"/>
  <c r="L24" i="63" s="1"/>
  <c r="O26" i="59"/>
  <c r="O6" i="59"/>
  <c r="N8" i="61"/>
  <c r="O7" i="59"/>
  <c r="O21" i="59"/>
  <c r="H24" i="60"/>
  <c r="O23" i="60"/>
  <c r="N9" i="61"/>
  <c r="N10" i="61"/>
  <c r="N20" i="61"/>
  <c r="O9" i="63"/>
  <c r="I25" i="59"/>
  <c r="I27" i="59" s="1"/>
  <c r="E24" i="60"/>
  <c r="M24" i="60"/>
  <c r="O8" i="60"/>
  <c r="O16" i="60"/>
  <c r="I24" i="61"/>
  <c r="G24" i="63"/>
  <c r="F25" i="59"/>
  <c r="F27" i="59" s="1"/>
  <c r="J25" i="59"/>
  <c r="J27" i="59" s="1"/>
  <c r="N25" i="59"/>
  <c r="N27" i="59" s="1"/>
  <c r="O18" i="59"/>
  <c r="F24" i="60"/>
  <c r="J24" i="60"/>
  <c r="N24" i="60"/>
  <c r="O10" i="60"/>
  <c r="O18" i="60"/>
  <c r="N4" i="61"/>
  <c r="F24" i="61"/>
  <c r="N15" i="61"/>
  <c r="N14" i="61"/>
  <c r="O10" i="63"/>
  <c r="O11" i="63"/>
  <c r="O18" i="63"/>
  <c r="O19" i="63"/>
  <c r="O17" i="59"/>
  <c r="O4" i="60"/>
  <c r="O5" i="60"/>
  <c r="O20" i="60"/>
  <c r="D24" i="61"/>
  <c r="H24" i="61"/>
  <c r="L24" i="61"/>
  <c r="N6" i="61"/>
  <c r="N22" i="61"/>
  <c r="F4" i="63"/>
  <c r="F24" i="63" s="1"/>
  <c r="J4" i="63"/>
  <c r="J24" i="63" s="1"/>
  <c r="N24" i="61" l="1"/>
  <c r="O24" i="58"/>
  <c r="O4" i="63"/>
  <c r="O24" i="63"/>
  <c r="O24" i="62"/>
  <c r="O24" i="60"/>
  <c r="K55" i="18" l="1"/>
  <c r="H55" i="18"/>
  <c r="K54" i="18"/>
  <c r="H54" i="18"/>
  <c r="K53" i="18"/>
  <c r="H53" i="18"/>
  <c r="K52" i="18"/>
  <c r="H52" i="18"/>
  <c r="K51" i="18"/>
  <c r="H51" i="18"/>
  <c r="K50" i="18"/>
  <c r="H50" i="18"/>
  <c r="K49" i="18"/>
  <c r="H49" i="18"/>
  <c r="K48" i="18"/>
  <c r="H48" i="18"/>
  <c r="K47" i="18"/>
  <c r="H47" i="18"/>
  <c r="K46" i="18"/>
  <c r="H46" i="18"/>
  <c r="K45" i="18"/>
  <c r="H45" i="18"/>
  <c r="K44" i="18"/>
  <c r="H44" i="18"/>
  <c r="K43" i="18"/>
  <c r="H43" i="18"/>
  <c r="K42" i="18"/>
  <c r="H42" i="18"/>
  <c r="K41" i="18"/>
  <c r="H41" i="18"/>
  <c r="K40" i="18"/>
  <c r="H40" i="18"/>
  <c r="K39" i="18"/>
  <c r="H39" i="18"/>
  <c r="K38" i="18"/>
  <c r="H38" i="18"/>
  <c r="K37" i="18"/>
  <c r="H37" i="18"/>
  <c r="K36" i="18"/>
  <c r="H36" i="18"/>
  <c r="C9" i="7" l="1"/>
  <c r="C10" i="7"/>
  <c r="C11" i="7"/>
  <c r="C12" i="7"/>
  <c r="C13" i="7"/>
  <c r="C14" i="7"/>
  <c r="C15" i="7"/>
  <c r="C16" i="7"/>
  <c r="C17" i="7"/>
  <c r="C18" i="7"/>
  <c r="C19" i="7"/>
  <c r="C20" i="7"/>
  <c r="C21" i="7"/>
  <c r="C22" i="7"/>
  <c r="C23" i="7"/>
  <c r="C24" i="7"/>
  <c r="C25" i="7"/>
  <c r="C26" i="7"/>
  <c r="C27" i="7"/>
  <c r="C8" i="7"/>
  <c r="G9" i="8" l="1"/>
  <c r="G10" i="8"/>
  <c r="G11" i="8"/>
  <c r="G12" i="8"/>
  <c r="G13" i="8"/>
  <c r="G14" i="8"/>
  <c r="G15" i="8"/>
  <c r="G16" i="8"/>
  <c r="G17" i="8"/>
  <c r="G18" i="8"/>
  <c r="G19" i="8"/>
  <c r="G20" i="8"/>
  <c r="G21" i="8"/>
  <c r="G22" i="8"/>
  <c r="G23" i="8"/>
  <c r="G24" i="8"/>
  <c r="G25" i="8"/>
  <c r="G26" i="8"/>
  <c r="G27" i="8"/>
  <c r="G8" i="8"/>
  <c r="N27" i="52" l="1"/>
  <c r="N31" i="51" s="1"/>
  <c r="N32" i="51" s="1"/>
  <c r="M27" i="52"/>
  <c r="M31" i="51" s="1"/>
  <c r="M32" i="51" s="1"/>
  <c r="L27" i="52"/>
  <c r="L31" i="51" s="1"/>
  <c r="L32" i="51" s="1"/>
  <c r="K27" i="52"/>
  <c r="K31" i="51" s="1"/>
  <c r="K32" i="51" s="1"/>
  <c r="J27" i="52"/>
  <c r="J31" i="51" s="1"/>
  <c r="J32" i="51" s="1"/>
  <c r="I27" i="52"/>
  <c r="I31" i="51" s="1"/>
  <c r="I32" i="51" s="1"/>
  <c r="H27" i="52"/>
  <c r="H31" i="51" s="1"/>
  <c r="H32" i="51" s="1"/>
  <c r="G27" i="52"/>
  <c r="G31" i="51" s="1"/>
  <c r="G32" i="51" s="1"/>
  <c r="F27" i="52"/>
  <c r="F31" i="51" s="1"/>
  <c r="F32" i="51" s="1"/>
  <c r="E27" i="52"/>
  <c r="E31" i="51" s="1"/>
  <c r="E32" i="51" s="1"/>
  <c r="D27" i="52"/>
  <c r="D31" i="51" s="1"/>
  <c r="D32" i="51" s="1"/>
  <c r="C27" i="52"/>
  <c r="C31" i="51" s="1"/>
  <c r="C32" i="51" s="1"/>
  <c r="B27" i="52"/>
  <c r="O26" i="52"/>
  <c r="O25" i="52"/>
  <c r="O24" i="52"/>
  <c r="O23" i="52"/>
  <c r="O22" i="52"/>
  <c r="O21" i="52"/>
  <c r="O20" i="52"/>
  <c r="O19" i="52"/>
  <c r="O18" i="52"/>
  <c r="O17" i="52"/>
  <c r="O16" i="52"/>
  <c r="O15" i="52"/>
  <c r="O14" i="52"/>
  <c r="O13" i="52"/>
  <c r="O12" i="52"/>
  <c r="O11" i="52"/>
  <c r="O10" i="52"/>
  <c r="O9" i="52"/>
  <c r="O8" i="52"/>
  <c r="O7" i="52"/>
  <c r="B24" i="50"/>
  <c r="N27" i="49"/>
  <c r="M27" i="49"/>
  <c r="L27" i="49"/>
  <c r="K27" i="49"/>
  <c r="J27" i="49"/>
  <c r="I27" i="49"/>
  <c r="H27" i="49"/>
  <c r="G27" i="49"/>
  <c r="F27" i="49"/>
  <c r="E27" i="49"/>
  <c r="D27" i="49"/>
  <c r="C27" i="49"/>
  <c r="B27" i="49"/>
  <c r="O26" i="49"/>
  <c r="O25" i="49"/>
  <c r="O24" i="49"/>
  <c r="O23" i="49"/>
  <c r="O22" i="49"/>
  <c r="O21" i="49"/>
  <c r="O20" i="49"/>
  <c r="O19" i="49"/>
  <c r="O18" i="49"/>
  <c r="O17" i="49"/>
  <c r="O16" i="49"/>
  <c r="O15" i="49"/>
  <c r="O14" i="49"/>
  <c r="O13" i="49"/>
  <c r="O12" i="49"/>
  <c r="O11" i="49"/>
  <c r="O10" i="49"/>
  <c r="O9" i="49"/>
  <c r="O8" i="49"/>
  <c r="O7" i="49"/>
  <c r="B24" i="46"/>
  <c r="N28" i="45"/>
  <c r="M28" i="45"/>
  <c r="L28" i="45"/>
  <c r="K28" i="45"/>
  <c r="J28" i="45"/>
  <c r="I28" i="45"/>
  <c r="H28" i="45"/>
  <c r="G28" i="45"/>
  <c r="F28" i="45"/>
  <c r="E28" i="45"/>
  <c r="D28" i="45"/>
  <c r="C28" i="45"/>
  <c r="B27" i="45"/>
  <c r="O26" i="45"/>
  <c r="O25" i="45"/>
  <c r="O24" i="45"/>
  <c r="O23" i="45"/>
  <c r="O22" i="45"/>
  <c r="O21" i="45"/>
  <c r="O20" i="45"/>
  <c r="O19" i="45"/>
  <c r="O18" i="45"/>
  <c r="O17" i="45"/>
  <c r="O16" i="45"/>
  <c r="O15" i="45"/>
  <c r="O14" i="45"/>
  <c r="O13" i="45"/>
  <c r="O12" i="45"/>
  <c r="O11" i="45"/>
  <c r="O10" i="45"/>
  <c r="O9" i="45"/>
  <c r="O8" i="45"/>
  <c r="N28" i="44"/>
  <c r="M28" i="44"/>
  <c r="L28" i="44"/>
  <c r="K28" i="44"/>
  <c r="J28" i="44"/>
  <c r="I28" i="44"/>
  <c r="H28" i="44"/>
  <c r="G28" i="44"/>
  <c r="F28" i="44"/>
  <c r="E28" i="44"/>
  <c r="D28" i="44"/>
  <c r="C28" i="44"/>
  <c r="B27" i="44"/>
  <c r="N25" i="43"/>
  <c r="M25" i="43"/>
  <c r="L25" i="43"/>
  <c r="K25" i="43"/>
  <c r="J25" i="43"/>
  <c r="I25" i="43"/>
  <c r="H25" i="43"/>
  <c r="G25" i="43"/>
  <c r="F25" i="43"/>
  <c r="E25" i="43"/>
  <c r="D25" i="43"/>
  <c r="C25" i="43"/>
  <c r="B24" i="43"/>
  <c r="K31" i="42"/>
  <c r="G31" i="42"/>
  <c r="C31" i="42"/>
  <c r="O30" i="42"/>
  <c r="N31" i="42"/>
  <c r="M31" i="42"/>
  <c r="L31" i="42"/>
  <c r="J31" i="42"/>
  <c r="I31" i="42"/>
  <c r="H31" i="42"/>
  <c r="F31" i="42"/>
  <c r="E31" i="42"/>
  <c r="D31" i="42"/>
  <c r="B27" i="42"/>
  <c r="O26" i="42"/>
  <c r="O25" i="42"/>
  <c r="O24" i="42"/>
  <c r="O23" i="42"/>
  <c r="O22" i="42"/>
  <c r="O21" i="42"/>
  <c r="O20" i="42"/>
  <c r="O19" i="42"/>
  <c r="O18" i="42"/>
  <c r="O17" i="42"/>
  <c r="O16" i="42"/>
  <c r="O15" i="42"/>
  <c r="O14" i="42"/>
  <c r="O13" i="42"/>
  <c r="O12" i="42"/>
  <c r="O11" i="42"/>
  <c r="O10" i="42"/>
  <c r="O9" i="42"/>
  <c r="O8" i="42"/>
  <c r="O7" i="42"/>
  <c r="B24" i="40"/>
  <c r="L32" i="38"/>
  <c r="K32" i="38"/>
  <c r="D32" i="38"/>
  <c r="C32" i="38"/>
  <c r="O33" i="39"/>
  <c r="N27" i="39"/>
  <c r="N32" i="38" s="1"/>
  <c r="M27" i="39"/>
  <c r="M32" i="38" s="1"/>
  <c r="L27" i="39"/>
  <c r="K27" i="39"/>
  <c r="J27" i="39"/>
  <c r="J32" i="38" s="1"/>
  <c r="I27" i="39"/>
  <c r="I32" i="38" s="1"/>
  <c r="H27" i="39"/>
  <c r="G27" i="39"/>
  <c r="F27" i="39"/>
  <c r="F32" i="38" s="1"/>
  <c r="E27" i="39"/>
  <c r="E32" i="38" s="1"/>
  <c r="D27" i="39"/>
  <c r="C27" i="39"/>
  <c r="B27" i="39"/>
  <c r="O26" i="39"/>
  <c r="O25" i="39"/>
  <c r="O24" i="39"/>
  <c r="O23" i="39"/>
  <c r="O22" i="39"/>
  <c r="O21" i="39"/>
  <c r="O20" i="39"/>
  <c r="O19" i="39"/>
  <c r="O18" i="39"/>
  <c r="O17" i="39"/>
  <c r="O16" i="39"/>
  <c r="O15" i="39"/>
  <c r="O14" i="39"/>
  <c r="O13" i="39"/>
  <c r="O12" i="39"/>
  <c r="O11" i="39"/>
  <c r="O10" i="39"/>
  <c r="O9" i="39"/>
  <c r="O8" i="39"/>
  <c r="O7" i="39"/>
  <c r="H32" i="38"/>
  <c r="G32" i="38"/>
  <c r="N31" i="36"/>
  <c r="N27" i="35" s="1"/>
  <c r="J31" i="36"/>
  <c r="J27" i="35" s="1"/>
  <c r="H31" i="36"/>
  <c r="H27" i="35" s="1"/>
  <c r="O27" i="36"/>
  <c r="B27" i="36"/>
  <c r="O26" i="36"/>
  <c r="O25" i="36"/>
  <c r="O24" i="36"/>
  <c r="O23" i="36"/>
  <c r="O22" i="36"/>
  <c r="O21" i="36"/>
  <c r="O20" i="36"/>
  <c r="O19" i="36"/>
  <c r="O18" i="36"/>
  <c r="O17" i="36"/>
  <c r="O16" i="36"/>
  <c r="O15" i="36"/>
  <c r="O14" i="36"/>
  <c r="O13" i="36"/>
  <c r="O12" i="36"/>
  <c r="O11" i="36"/>
  <c r="O10" i="36"/>
  <c r="O9" i="36"/>
  <c r="O8" i="36"/>
  <c r="O7" i="36"/>
  <c r="O32" i="32"/>
  <c r="N26" i="32"/>
  <c r="M26" i="32"/>
  <c r="L26" i="32"/>
  <c r="K26" i="32"/>
  <c r="J26" i="32"/>
  <c r="I26" i="32"/>
  <c r="H26" i="32"/>
  <c r="G26" i="32"/>
  <c r="F26" i="32"/>
  <c r="E26" i="32"/>
  <c r="D26" i="32"/>
  <c r="C26" i="32"/>
  <c r="N25" i="32"/>
  <c r="M25" i="32"/>
  <c r="L25" i="32"/>
  <c r="K25" i="32"/>
  <c r="J25" i="32"/>
  <c r="I25" i="32"/>
  <c r="H25" i="32"/>
  <c r="G25" i="32"/>
  <c r="F25" i="32"/>
  <c r="E25" i="32"/>
  <c r="D25" i="32"/>
  <c r="C25" i="32"/>
  <c r="N24" i="32"/>
  <c r="M24" i="32"/>
  <c r="L24" i="32"/>
  <c r="K24" i="32"/>
  <c r="J24" i="32"/>
  <c r="I24" i="32"/>
  <c r="H24" i="32"/>
  <c r="G24" i="32"/>
  <c r="F24" i="32"/>
  <c r="E24" i="32"/>
  <c r="D24" i="32"/>
  <c r="C24" i="32"/>
  <c r="N23" i="32"/>
  <c r="M23" i="32"/>
  <c r="L23" i="32"/>
  <c r="K23" i="32"/>
  <c r="J23" i="32"/>
  <c r="I23" i="32"/>
  <c r="H23" i="32"/>
  <c r="G23" i="32"/>
  <c r="F23" i="32"/>
  <c r="E23" i="32"/>
  <c r="D23" i="32"/>
  <c r="C23" i="32"/>
  <c r="N22" i="32"/>
  <c r="M22" i="32"/>
  <c r="L22" i="32"/>
  <c r="K22" i="32"/>
  <c r="J22" i="32"/>
  <c r="I22" i="32"/>
  <c r="H22" i="32"/>
  <c r="G22" i="32"/>
  <c r="F22" i="32"/>
  <c r="E22" i="32"/>
  <c r="D22" i="32"/>
  <c r="C22" i="32"/>
  <c r="N21" i="32"/>
  <c r="M21" i="32"/>
  <c r="L21" i="32"/>
  <c r="K21" i="32"/>
  <c r="J21" i="32"/>
  <c r="I21" i="32"/>
  <c r="H21" i="32"/>
  <c r="G21" i="32"/>
  <c r="F21" i="32"/>
  <c r="E21" i="32"/>
  <c r="D21" i="32"/>
  <c r="C21" i="32"/>
  <c r="N20" i="32"/>
  <c r="M20" i="32"/>
  <c r="L20" i="32"/>
  <c r="K20" i="32"/>
  <c r="J20" i="32"/>
  <c r="I20" i="32"/>
  <c r="H20" i="32"/>
  <c r="G20" i="32"/>
  <c r="F20" i="32"/>
  <c r="E20" i="32"/>
  <c r="D20" i="32"/>
  <c r="C20" i="32"/>
  <c r="N19" i="32"/>
  <c r="M19" i="32"/>
  <c r="L19" i="32"/>
  <c r="K19" i="32"/>
  <c r="J19" i="32"/>
  <c r="I19" i="32"/>
  <c r="H19" i="32"/>
  <c r="G19" i="32"/>
  <c r="F19" i="32"/>
  <c r="E19" i="32"/>
  <c r="D19" i="32"/>
  <c r="C19" i="32"/>
  <c r="N18" i="32"/>
  <c r="M18" i="32"/>
  <c r="L18" i="32"/>
  <c r="K18" i="32"/>
  <c r="J18" i="32"/>
  <c r="I18" i="32"/>
  <c r="H18" i="32"/>
  <c r="G18" i="32"/>
  <c r="F18" i="32"/>
  <c r="E18" i="32"/>
  <c r="D18" i="32"/>
  <c r="C18" i="32"/>
  <c r="N17" i="32"/>
  <c r="M17" i="32"/>
  <c r="L17" i="32"/>
  <c r="K17" i="32"/>
  <c r="J17" i="32"/>
  <c r="I17" i="32"/>
  <c r="H17" i="32"/>
  <c r="G17" i="32"/>
  <c r="F17" i="32"/>
  <c r="E17" i="32"/>
  <c r="D17" i="32"/>
  <c r="C17" i="32"/>
  <c r="N16" i="32"/>
  <c r="M16" i="32"/>
  <c r="L16" i="32"/>
  <c r="K16" i="32"/>
  <c r="J16" i="32"/>
  <c r="I16" i="32"/>
  <c r="H16" i="32"/>
  <c r="G16" i="32"/>
  <c r="F16" i="32"/>
  <c r="E16" i="32"/>
  <c r="D16" i="32"/>
  <c r="C16" i="32"/>
  <c r="N15" i="32"/>
  <c r="M15" i="32"/>
  <c r="L15" i="32"/>
  <c r="K15" i="32"/>
  <c r="J15" i="32"/>
  <c r="I15" i="32"/>
  <c r="H15" i="32"/>
  <c r="G15" i="32"/>
  <c r="F15" i="32"/>
  <c r="E15" i="32"/>
  <c r="D15" i="32"/>
  <c r="C15" i="32"/>
  <c r="N14" i="32"/>
  <c r="M14" i="32"/>
  <c r="L14" i="32"/>
  <c r="K14" i="32"/>
  <c r="J14" i="32"/>
  <c r="I14" i="32"/>
  <c r="H14" i="32"/>
  <c r="G14" i="32"/>
  <c r="F14" i="32"/>
  <c r="E14" i="32"/>
  <c r="D14" i="32"/>
  <c r="C14" i="32"/>
  <c r="N13" i="32"/>
  <c r="M13" i="32"/>
  <c r="L13" i="32"/>
  <c r="K13" i="32"/>
  <c r="J13" i="32"/>
  <c r="I13" i="32"/>
  <c r="H13" i="32"/>
  <c r="G13" i="32"/>
  <c r="F13" i="32"/>
  <c r="E13" i="32"/>
  <c r="D13" i="32"/>
  <c r="C13" i="32"/>
  <c r="N12" i="32"/>
  <c r="M12" i="32"/>
  <c r="L12" i="32"/>
  <c r="K12" i="32"/>
  <c r="J12" i="32"/>
  <c r="I12" i="32"/>
  <c r="H12" i="32"/>
  <c r="G12" i="32"/>
  <c r="F12" i="32"/>
  <c r="E12" i="32"/>
  <c r="D12" i="32"/>
  <c r="C12" i="32"/>
  <c r="N11" i="32"/>
  <c r="M11" i="32"/>
  <c r="L11" i="32"/>
  <c r="K11" i="32"/>
  <c r="J11" i="32"/>
  <c r="I11" i="32"/>
  <c r="H11" i="32"/>
  <c r="G11" i="32"/>
  <c r="F11" i="32"/>
  <c r="E11" i="32"/>
  <c r="D11" i="32"/>
  <c r="C11" i="32"/>
  <c r="N10" i="32"/>
  <c r="M10" i="32"/>
  <c r="L10" i="32"/>
  <c r="K10" i="32"/>
  <c r="J10" i="32"/>
  <c r="I10" i="32"/>
  <c r="H10" i="32"/>
  <c r="G10" i="32"/>
  <c r="F10" i="32"/>
  <c r="E10" i="32"/>
  <c r="D10" i="32"/>
  <c r="C10" i="32"/>
  <c r="N9" i="32"/>
  <c r="M9" i="32"/>
  <c r="L9" i="32"/>
  <c r="K9" i="32"/>
  <c r="J9" i="32"/>
  <c r="I9" i="32"/>
  <c r="H9" i="32"/>
  <c r="G9" i="32"/>
  <c r="F9" i="32"/>
  <c r="E9" i="32"/>
  <c r="D9" i="32"/>
  <c r="C9" i="32"/>
  <c r="N8" i="32"/>
  <c r="M8" i="32"/>
  <c r="L8" i="32"/>
  <c r="K8" i="32"/>
  <c r="J8" i="32"/>
  <c r="I8" i="32"/>
  <c r="H8" i="32"/>
  <c r="G8" i="32"/>
  <c r="F8" i="32"/>
  <c r="E8" i="32"/>
  <c r="D8" i="32"/>
  <c r="C8" i="32"/>
  <c r="B7" i="32"/>
  <c r="M7" i="32" s="1"/>
  <c r="M27" i="32" s="1"/>
  <c r="J30" i="48" l="1"/>
  <c r="J31" i="48" s="1"/>
  <c r="J31" i="47"/>
  <c r="J32" i="47" s="1"/>
  <c r="O9" i="32"/>
  <c r="O10" i="32"/>
  <c r="O11" i="32"/>
  <c r="O12" i="32"/>
  <c r="O13" i="32"/>
  <c r="O14" i="32"/>
  <c r="O15" i="32"/>
  <c r="O16" i="32"/>
  <c r="O17" i="32"/>
  <c r="O18" i="32"/>
  <c r="O19" i="32"/>
  <c r="O20" i="32"/>
  <c r="O21" i="32"/>
  <c r="O27" i="49"/>
  <c r="C31" i="47"/>
  <c r="C30" i="48"/>
  <c r="C31" i="48" s="1"/>
  <c r="G30" i="48"/>
  <c r="G31" i="48" s="1"/>
  <c r="G31" i="47"/>
  <c r="G32" i="47" s="1"/>
  <c r="G10" i="47" s="1"/>
  <c r="K30" i="48"/>
  <c r="K31" i="48" s="1"/>
  <c r="K31" i="47"/>
  <c r="K32" i="47" s="1"/>
  <c r="D30" i="48"/>
  <c r="D31" i="48" s="1"/>
  <c r="D31" i="47"/>
  <c r="D32" i="47" s="1"/>
  <c r="D10" i="47" s="1"/>
  <c r="H30" i="48"/>
  <c r="H31" i="48" s="1"/>
  <c r="H31" i="47"/>
  <c r="H32" i="47" s="1"/>
  <c r="L30" i="48"/>
  <c r="L31" i="48" s="1"/>
  <c r="L31" i="47"/>
  <c r="L32" i="47" s="1"/>
  <c r="L7" i="47" s="1"/>
  <c r="F30" i="48"/>
  <c r="F31" i="48" s="1"/>
  <c r="F31" i="47"/>
  <c r="F32" i="47" s="1"/>
  <c r="N30" i="48"/>
  <c r="N31" i="48" s="1"/>
  <c r="N31" i="47"/>
  <c r="N32" i="47" s="1"/>
  <c r="N8" i="47" s="1"/>
  <c r="O8" i="32"/>
  <c r="E30" i="48"/>
  <c r="E31" i="48" s="1"/>
  <c r="E31" i="47"/>
  <c r="E32" i="47" s="1"/>
  <c r="I30" i="48"/>
  <c r="I31" i="48" s="1"/>
  <c r="I33" i="48" s="1"/>
  <c r="I31" i="47"/>
  <c r="I32" i="47" s="1"/>
  <c r="M30" i="48"/>
  <c r="M31" i="48" s="1"/>
  <c r="M31" i="47"/>
  <c r="M32" i="47" s="1"/>
  <c r="F29" i="45"/>
  <c r="J29" i="45"/>
  <c r="N29" i="45"/>
  <c r="O22" i="32"/>
  <c r="O23" i="32"/>
  <c r="O24" i="32"/>
  <c r="O25" i="32"/>
  <c r="O26" i="32"/>
  <c r="E31" i="36"/>
  <c r="E27" i="35" s="1"/>
  <c r="I31" i="36"/>
  <c r="I27" i="35" s="1"/>
  <c r="M31" i="36"/>
  <c r="M27" i="35" s="1"/>
  <c r="H29" i="45"/>
  <c r="L29" i="45"/>
  <c r="E32" i="48"/>
  <c r="E33" i="48"/>
  <c r="M32" i="48"/>
  <c r="M33" i="48"/>
  <c r="F31" i="36"/>
  <c r="F27" i="35" s="1"/>
  <c r="E29" i="45"/>
  <c r="I29" i="45"/>
  <c r="M29" i="45"/>
  <c r="F32" i="48"/>
  <c r="F33" i="48"/>
  <c r="J32" i="48"/>
  <c r="J33" i="48"/>
  <c r="N32" i="48"/>
  <c r="N33" i="48"/>
  <c r="G32" i="48"/>
  <c r="G33" i="48"/>
  <c r="K33" i="48"/>
  <c r="K32" i="48"/>
  <c r="D31" i="36"/>
  <c r="D27" i="35" s="1"/>
  <c r="L31" i="36"/>
  <c r="L27" i="35" s="1"/>
  <c r="G29" i="45"/>
  <c r="K29" i="45"/>
  <c r="D32" i="48"/>
  <c r="D33" i="48"/>
  <c r="H32" i="48"/>
  <c r="H33" i="48"/>
  <c r="L32" i="48"/>
  <c r="L33" i="48"/>
  <c r="F29" i="44"/>
  <c r="F24" i="43"/>
  <c r="F26" i="43" s="1"/>
  <c r="O9" i="44"/>
  <c r="O11" i="44"/>
  <c r="O13" i="44"/>
  <c r="O14" i="44"/>
  <c r="O15" i="44"/>
  <c r="O17" i="44"/>
  <c r="O21" i="44"/>
  <c r="O22" i="44"/>
  <c r="O23" i="44"/>
  <c r="O25" i="44"/>
  <c r="D29" i="44"/>
  <c r="H29" i="44"/>
  <c r="L29" i="44"/>
  <c r="H24" i="43"/>
  <c r="H26" i="43" s="1"/>
  <c r="L24" i="43"/>
  <c r="L26" i="43" s="1"/>
  <c r="O18" i="43"/>
  <c r="O19" i="43"/>
  <c r="O22" i="43"/>
  <c r="O14" i="43"/>
  <c r="O20" i="43"/>
  <c r="O6" i="43"/>
  <c r="O8" i="43"/>
  <c r="O10" i="43"/>
  <c r="O11" i="43"/>
  <c r="C29" i="45"/>
  <c r="G7" i="32"/>
  <c r="G27" i="32" s="1"/>
  <c r="K7" i="32"/>
  <c r="K27" i="32" s="1"/>
  <c r="C7" i="32"/>
  <c r="C27" i="32" s="1"/>
  <c r="B27" i="32"/>
  <c r="E7" i="47"/>
  <c r="E9" i="47"/>
  <c r="E11" i="47"/>
  <c r="I7" i="47"/>
  <c r="I9" i="47"/>
  <c r="I11" i="47"/>
  <c r="M7" i="47"/>
  <c r="K8" i="47"/>
  <c r="M9" i="47"/>
  <c r="K10" i="47"/>
  <c r="M11" i="47"/>
  <c r="N24" i="43"/>
  <c r="N26" i="43" s="1"/>
  <c r="F7" i="32"/>
  <c r="F27" i="32" s="1"/>
  <c r="J7" i="32"/>
  <c r="J27" i="32" s="1"/>
  <c r="N7" i="32"/>
  <c r="N27" i="32" s="1"/>
  <c r="C29" i="44"/>
  <c r="G29" i="44"/>
  <c r="K29" i="44"/>
  <c r="O7" i="44"/>
  <c r="J29" i="44"/>
  <c r="K24" i="43"/>
  <c r="K26" i="43" s="1"/>
  <c r="J24" i="43"/>
  <c r="J26" i="43" s="1"/>
  <c r="N29" i="44"/>
  <c r="H7" i="32"/>
  <c r="H27" i="32" s="1"/>
  <c r="O12" i="43"/>
  <c r="O19" i="44"/>
  <c r="G24" i="43"/>
  <c r="G26" i="43" s="1"/>
  <c r="D7" i="32"/>
  <c r="D27" i="32" s="1"/>
  <c r="L7" i="32"/>
  <c r="L27" i="32" s="1"/>
  <c r="E7" i="32"/>
  <c r="E27" i="32" s="1"/>
  <c r="I7" i="32"/>
  <c r="I27" i="32" s="1"/>
  <c r="C31" i="36"/>
  <c r="C27" i="35" s="1"/>
  <c r="G31" i="36"/>
  <c r="G27" i="35" s="1"/>
  <c r="K31" i="36"/>
  <c r="K27" i="35" s="1"/>
  <c r="O30" i="36"/>
  <c r="O31" i="36" s="1"/>
  <c r="O27" i="39"/>
  <c r="O32" i="38" s="1"/>
  <c r="O16" i="43"/>
  <c r="O9" i="43"/>
  <c r="O17" i="43"/>
  <c r="O12" i="44"/>
  <c r="O20" i="44"/>
  <c r="O27" i="42"/>
  <c r="O31" i="42" s="1"/>
  <c r="O13" i="43"/>
  <c r="O21" i="43"/>
  <c r="O25" i="43"/>
  <c r="O8" i="44"/>
  <c r="O16" i="44"/>
  <c r="O24" i="44"/>
  <c r="O28" i="44"/>
  <c r="E24" i="43"/>
  <c r="E26" i="43" s="1"/>
  <c r="I24" i="43"/>
  <c r="I26" i="43" s="1"/>
  <c r="M24" i="43"/>
  <c r="M26" i="43" s="1"/>
  <c r="O7" i="43"/>
  <c r="O15" i="43"/>
  <c r="O23" i="43"/>
  <c r="E29" i="44"/>
  <c r="I29" i="44"/>
  <c r="M29" i="44"/>
  <c r="O10" i="44"/>
  <c r="O18" i="44"/>
  <c r="O26" i="44"/>
  <c r="O28" i="45"/>
  <c r="H7" i="47"/>
  <c r="F8" i="47"/>
  <c r="J8" i="47"/>
  <c r="D9" i="47"/>
  <c r="H9" i="47"/>
  <c r="F10" i="47"/>
  <c r="J10" i="47"/>
  <c r="H11" i="47"/>
  <c r="C33" i="48"/>
  <c r="C32" i="48"/>
  <c r="F7" i="47"/>
  <c r="J7" i="47"/>
  <c r="H8" i="47"/>
  <c r="F9" i="47"/>
  <c r="J9" i="47"/>
  <c r="H10" i="47"/>
  <c r="F11" i="47"/>
  <c r="J11" i="47"/>
  <c r="O30" i="51"/>
  <c r="C7" i="47"/>
  <c r="E8" i="47"/>
  <c r="I8" i="47"/>
  <c r="E10" i="47"/>
  <c r="I10" i="47"/>
  <c r="O31" i="51"/>
  <c r="O27" i="52"/>
  <c r="L8" i="47" l="1"/>
  <c r="I32" i="48"/>
  <c r="G9" i="47"/>
  <c r="O30" i="48"/>
  <c r="O31" i="48" s="1"/>
  <c r="O33" i="48" s="1"/>
  <c r="L11" i="47"/>
  <c r="L33" i="47"/>
  <c r="L34" i="47"/>
  <c r="G11" i="47"/>
  <c r="N9" i="47"/>
  <c r="M33" i="47"/>
  <c r="M34" i="47"/>
  <c r="M8" i="47"/>
  <c r="M10" i="47"/>
  <c r="E33" i="47"/>
  <c r="E34" i="47"/>
  <c r="N34" i="47"/>
  <c r="N33" i="47"/>
  <c r="D33" i="47"/>
  <c r="D34" i="47"/>
  <c r="L10" i="47"/>
  <c r="D8" i="47"/>
  <c r="D11" i="47"/>
  <c r="L9" i="47"/>
  <c r="D7" i="47"/>
  <c r="F34" i="47"/>
  <c r="F33" i="47"/>
  <c r="H34" i="47"/>
  <c r="H33" i="47"/>
  <c r="K33" i="47"/>
  <c r="K34" i="47"/>
  <c r="K9" i="47"/>
  <c r="K11" i="47"/>
  <c r="K7" i="47"/>
  <c r="J33" i="47"/>
  <c r="J34" i="47"/>
  <c r="G34" i="47"/>
  <c r="G33" i="47"/>
  <c r="G7" i="47"/>
  <c r="N11" i="47"/>
  <c r="N7" i="47"/>
  <c r="N10" i="47"/>
  <c r="G8" i="47"/>
  <c r="I33" i="47"/>
  <c r="I34" i="47"/>
  <c r="O31" i="47"/>
  <c r="C11" i="47"/>
  <c r="C9" i="47"/>
  <c r="C10" i="47"/>
  <c r="O10" i="47" s="1"/>
  <c r="C26" i="47"/>
  <c r="C8" i="47"/>
  <c r="C32" i="47"/>
  <c r="O33" i="45"/>
  <c r="O5" i="43"/>
  <c r="O27" i="32"/>
  <c r="O34" i="32" s="1"/>
  <c r="C24" i="43"/>
  <c r="C26" i="43" s="1"/>
  <c r="O32" i="51"/>
  <c r="O7" i="32"/>
  <c r="O27" i="44"/>
  <c r="O29" i="44" s="1"/>
  <c r="O24" i="33"/>
  <c r="O27" i="35"/>
  <c r="L40" i="15"/>
  <c r="O11" i="47" l="1"/>
  <c r="O32" i="48"/>
  <c r="O7" i="47"/>
  <c r="O8" i="47"/>
  <c r="O9" i="47"/>
  <c r="I23" i="47"/>
  <c r="I14" i="47"/>
  <c r="I16" i="47"/>
  <c r="I21" i="47"/>
  <c r="I24" i="47"/>
  <c r="I18" i="47"/>
  <c r="I26" i="47"/>
  <c r="I15" i="47"/>
  <c r="I19" i="47"/>
  <c r="G14" i="47"/>
  <c r="G15" i="47"/>
  <c r="G21" i="47"/>
  <c r="G23" i="47"/>
  <c r="G16" i="47"/>
  <c r="G19" i="47"/>
  <c r="G24" i="47"/>
  <c r="G18" i="47"/>
  <c r="G26" i="47"/>
  <c r="N18" i="47"/>
  <c r="N16" i="47"/>
  <c r="N19" i="47"/>
  <c r="N24" i="47"/>
  <c r="N23" i="47"/>
  <c r="N14" i="47"/>
  <c r="N15" i="47"/>
  <c r="N21" i="47"/>
  <c r="N26" i="47"/>
  <c r="F24" i="47"/>
  <c r="F14" i="47"/>
  <c r="F15" i="47"/>
  <c r="F23" i="47"/>
  <c r="F21" i="47"/>
  <c r="F18" i="47"/>
  <c r="F26" i="47"/>
  <c r="F19" i="47"/>
  <c r="F16" i="47"/>
  <c r="C34" i="47"/>
  <c r="C33" i="47"/>
  <c r="O33" i="47" s="1"/>
  <c r="O32" i="47"/>
  <c r="J19" i="47"/>
  <c r="J24" i="47"/>
  <c r="J18" i="47"/>
  <c r="J21" i="47"/>
  <c r="J26" i="47"/>
  <c r="J14" i="47"/>
  <c r="J15" i="47"/>
  <c r="J16" i="47"/>
  <c r="J23" i="47"/>
  <c r="H15" i="47"/>
  <c r="H16" i="47"/>
  <c r="H19" i="47"/>
  <c r="H23" i="47"/>
  <c r="H18" i="47"/>
  <c r="H26" i="47"/>
  <c r="H14" i="47"/>
  <c r="H21" i="47"/>
  <c r="H24" i="47"/>
  <c r="D23" i="47"/>
  <c r="D18" i="47"/>
  <c r="D21" i="47"/>
  <c r="D16" i="47"/>
  <c r="D24" i="47"/>
  <c r="D14" i="47"/>
  <c r="D19" i="47"/>
  <c r="D26" i="47"/>
  <c r="D15" i="47"/>
  <c r="E15" i="47"/>
  <c r="E19" i="47"/>
  <c r="E21" i="47"/>
  <c r="E23" i="47"/>
  <c r="E24" i="47"/>
  <c r="E16" i="47"/>
  <c r="E18" i="47"/>
  <c r="E26" i="47"/>
  <c r="E14" i="47"/>
  <c r="M14" i="47"/>
  <c r="M16" i="47"/>
  <c r="M23" i="47"/>
  <c r="M24" i="47"/>
  <c r="M18" i="47"/>
  <c r="M26" i="47"/>
  <c r="M19" i="47"/>
  <c r="M15" i="47"/>
  <c r="M21" i="47"/>
  <c r="L21" i="47"/>
  <c r="L24" i="47"/>
  <c r="L18" i="47"/>
  <c r="L26" i="47"/>
  <c r="L15" i="47"/>
  <c r="L16" i="47"/>
  <c r="L23" i="47"/>
  <c r="L19" i="47"/>
  <c r="L14" i="47"/>
  <c r="K15" i="47"/>
  <c r="K26" i="47"/>
  <c r="K21" i="47"/>
  <c r="K24" i="47"/>
  <c r="K14" i="47"/>
  <c r="K18" i="47"/>
  <c r="K23" i="47"/>
  <c r="K19" i="47"/>
  <c r="K16" i="47"/>
  <c r="K46" i="15"/>
  <c r="O26" i="47" l="1"/>
  <c r="O34" i="47"/>
  <c r="C15" i="47"/>
  <c r="O15" i="47" s="1"/>
  <c r="C24" i="47"/>
  <c r="O24" i="47" s="1"/>
  <c r="C21" i="47"/>
  <c r="O21" i="47" s="1"/>
  <c r="C19" i="47"/>
  <c r="O19" i="47" s="1"/>
  <c r="C14" i="47"/>
  <c r="O14" i="47" s="1"/>
  <c r="C23" i="47"/>
  <c r="O23" i="47" s="1"/>
  <c r="C18" i="47"/>
  <c r="O18" i="47" s="1"/>
  <c r="C16" i="47"/>
  <c r="O16" i="47" s="1"/>
  <c r="K64" i="15"/>
  <c r="K66" i="15" s="1"/>
  <c r="K59" i="15"/>
  <c r="K54" i="15"/>
  <c r="K49" i="15"/>
  <c r="O43" i="15"/>
  <c r="K34" i="15"/>
  <c r="N27" i="21" l="1"/>
  <c r="N34" i="21" s="1"/>
  <c r="M27" i="21"/>
  <c r="M34" i="21" s="1"/>
  <c r="L27" i="21"/>
  <c r="L34" i="21" s="1"/>
  <c r="K27" i="21"/>
  <c r="K34" i="21" s="1"/>
  <c r="J27" i="21"/>
  <c r="J34" i="21" s="1"/>
  <c r="I27" i="21"/>
  <c r="I34" i="21" s="1"/>
  <c r="H27" i="21"/>
  <c r="H34" i="21" s="1"/>
  <c r="G27" i="21"/>
  <c r="G34" i="21" s="1"/>
  <c r="F27" i="21"/>
  <c r="F34" i="21" s="1"/>
  <c r="E27" i="21"/>
  <c r="E34" i="21" s="1"/>
  <c r="D27" i="21"/>
  <c r="D34" i="21" s="1"/>
  <c r="C27" i="21"/>
  <c r="C34" i="21" s="1"/>
  <c r="B27" i="21"/>
  <c r="O26" i="21"/>
  <c r="O25" i="21"/>
  <c r="O24" i="21"/>
  <c r="O23" i="21"/>
  <c r="O22" i="21"/>
  <c r="O21" i="21"/>
  <c r="O20" i="21"/>
  <c r="O19" i="21"/>
  <c r="O18" i="21"/>
  <c r="O17" i="21"/>
  <c r="O16" i="21"/>
  <c r="O15" i="21"/>
  <c r="O14" i="21"/>
  <c r="O13" i="21"/>
  <c r="O12" i="21"/>
  <c r="O11" i="21"/>
  <c r="O10" i="21"/>
  <c r="O9" i="21"/>
  <c r="O8" i="21"/>
  <c r="O7" i="21"/>
  <c r="O27" i="21" l="1"/>
  <c r="AB10" i="3"/>
  <c r="AB11" i="3"/>
  <c r="AB12" i="3"/>
  <c r="AB13" i="3"/>
  <c r="AB14" i="3"/>
  <c r="AB15" i="3"/>
  <c r="AB16" i="3"/>
  <c r="AB17" i="3"/>
  <c r="AB18" i="3"/>
  <c r="AB19" i="3"/>
  <c r="AB20" i="3"/>
  <c r="AB21" i="3"/>
  <c r="AB22" i="3"/>
  <c r="AB23" i="3"/>
  <c r="AB24" i="3"/>
  <c r="AB25" i="3"/>
  <c r="AB26" i="3"/>
  <c r="AB27" i="3"/>
  <c r="AB28" i="3"/>
  <c r="AB9" i="3"/>
  <c r="D28" i="8"/>
  <c r="D10" i="8" s="1"/>
  <c r="C28" i="4"/>
  <c r="C11" i="4" s="1"/>
  <c r="D28" i="20"/>
  <c r="D9" i="20" s="1"/>
  <c r="C28" i="20"/>
  <c r="D19" i="8" l="1"/>
  <c r="D27" i="8"/>
  <c r="D11" i="8"/>
  <c r="D23" i="8"/>
  <c r="D15" i="8"/>
  <c r="D25" i="8"/>
  <c r="D21" i="8"/>
  <c r="D17" i="8"/>
  <c r="D13" i="8"/>
  <c r="D9" i="8"/>
  <c r="D8" i="8"/>
  <c r="D24" i="8"/>
  <c r="D20" i="8"/>
  <c r="D16" i="8"/>
  <c r="D12" i="8"/>
  <c r="D26" i="8"/>
  <c r="D22" i="8"/>
  <c r="D18" i="8"/>
  <c r="D14" i="8"/>
  <c r="C18" i="4"/>
  <c r="C14" i="4"/>
  <c r="C22" i="4"/>
  <c r="C26" i="4"/>
  <c r="C10" i="4"/>
  <c r="D22" i="20"/>
  <c r="D14" i="20"/>
  <c r="D26" i="20"/>
  <c r="D10" i="20"/>
  <c r="D18" i="20"/>
  <c r="D8" i="20"/>
  <c r="D24" i="20"/>
  <c r="D20" i="20"/>
  <c r="D16" i="20"/>
  <c r="D12" i="20"/>
  <c r="D27" i="20"/>
  <c r="D23" i="20"/>
  <c r="D19" i="20"/>
  <c r="D15" i="20"/>
  <c r="D11" i="20"/>
  <c r="D25" i="20"/>
  <c r="D21" i="20"/>
  <c r="D17" i="20"/>
  <c r="D13" i="20"/>
  <c r="C25" i="4"/>
  <c r="C21" i="4"/>
  <c r="C17" i="4"/>
  <c r="C13" i="4"/>
  <c r="C9" i="4"/>
  <c r="C8" i="4"/>
  <c r="C24" i="4"/>
  <c r="C20" i="4"/>
  <c r="C16" i="4"/>
  <c r="C12" i="4"/>
  <c r="C27" i="4"/>
  <c r="C23" i="4"/>
  <c r="C19" i="4"/>
  <c r="C15" i="4"/>
  <c r="L64" i="15" l="1"/>
  <c r="M26" i="5" l="1"/>
  <c r="M23" i="5"/>
  <c r="M18" i="5"/>
  <c r="M14" i="5"/>
  <c r="M13" i="5"/>
  <c r="C87" i="19"/>
  <c r="D86" i="19"/>
  <c r="D85" i="19"/>
  <c r="D84" i="19"/>
  <c r="D83" i="19"/>
  <c r="D82" i="19"/>
  <c r="D81" i="19"/>
  <c r="D80" i="19"/>
  <c r="D79" i="19"/>
  <c r="D78" i="19"/>
  <c r="D77" i="19"/>
  <c r="D76" i="19"/>
  <c r="D75" i="19"/>
  <c r="D74" i="19"/>
  <c r="D73" i="19"/>
  <c r="D72" i="19"/>
  <c r="D71" i="19"/>
  <c r="D70" i="19"/>
  <c r="D69" i="19"/>
  <c r="D68" i="19"/>
  <c r="D67" i="19"/>
  <c r="D57" i="19"/>
  <c r="C57" i="19"/>
  <c r="I32" i="19"/>
  <c r="E29" i="19"/>
  <c r="J56" i="18"/>
  <c r="I56" i="18"/>
  <c r="G56" i="18"/>
  <c r="F56" i="18"/>
  <c r="C26" i="18"/>
  <c r="C24" i="18"/>
  <c r="C23" i="18"/>
  <c r="C22" i="18"/>
  <c r="C21" i="18"/>
  <c r="C20" i="18"/>
  <c r="C19" i="18"/>
  <c r="C18" i="18"/>
  <c r="C17" i="18"/>
  <c r="C16" i="18"/>
  <c r="C15" i="18"/>
  <c r="C14" i="18"/>
  <c r="C12" i="18"/>
  <c r="C11" i="18"/>
  <c r="C10" i="18"/>
  <c r="C9" i="18"/>
  <c r="C28" i="18"/>
  <c r="C13" i="18"/>
  <c r="C25" i="18" l="1"/>
  <c r="C27" i="18"/>
  <c r="K56" i="18"/>
  <c r="H56" i="18"/>
  <c r="D87" i="19"/>
  <c r="C29" i="18" l="1"/>
  <c r="E10" i="18" s="1"/>
  <c r="F10" i="18" s="1"/>
  <c r="C11" i="19"/>
  <c r="C25" i="19"/>
  <c r="C15" i="19"/>
  <c r="C23" i="19"/>
  <c r="C17" i="19"/>
  <c r="C24" i="19"/>
  <c r="C19" i="19"/>
  <c r="C13" i="19"/>
  <c r="C18" i="19"/>
  <c r="C22" i="19"/>
  <c r="C21" i="19"/>
  <c r="C12" i="19"/>
  <c r="C14" i="19"/>
  <c r="C10" i="19"/>
  <c r="C28" i="19"/>
  <c r="C27" i="19"/>
  <c r="C20" i="19"/>
  <c r="C26" i="19"/>
  <c r="E9" i="18" l="1"/>
  <c r="F9" i="18" s="1"/>
  <c r="E24" i="18"/>
  <c r="F24" i="18" s="1"/>
  <c r="E14" i="18"/>
  <c r="F14" i="18" s="1"/>
  <c r="E15" i="18"/>
  <c r="F15" i="18" s="1"/>
  <c r="E27" i="18"/>
  <c r="F27" i="18" s="1"/>
  <c r="E12" i="18"/>
  <c r="F12" i="18" s="1"/>
  <c r="E11" i="18"/>
  <c r="F11" i="18" s="1"/>
  <c r="E21" i="18"/>
  <c r="F21" i="18" s="1"/>
  <c r="E25" i="18"/>
  <c r="F25" i="18" s="1"/>
  <c r="E18" i="18"/>
  <c r="F18" i="18" s="1"/>
  <c r="E23" i="18"/>
  <c r="F23" i="18" s="1"/>
  <c r="E26" i="18"/>
  <c r="F26" i="18" s="1"/>
  <c r="E22" i="18"/>
  <c r="F22" i="18" s="1"/>
  <c r="E17" i="18"/>
  <c r="F17" i="18" s="1"/>
  <c r="E19" i="18"/>
  <c r="F19" i="18" s="1"/>
  <c r="E13" i="18"/>
  <c r="F13" i="18" s="1"/>
  <c r="E16" i="18"/>
  <c r="F16" i="18" s="1"/>
  <c r="E20" i="18"/>
  <c r="F20" i="18" s="1"/>
  <c r="E28" i="18"/>
  <c r="F28" i="18" s="1"/>
  <c r="C16" i="19"/>
  <c r="C9" i="19"/>
  <c r="C29" i="19" s="1"/>
  <c r="E29" i="18" l="1"/>
  <c r="F29" i="18"/>
  <c r="F27" i="5"/>
  <c r="F26" i="5"/>
  <c r="F25" i="5"/>
  <c r="F24" i="5"/>
  <c r="F23" i="5"/>
  <c r="F22" i="5"/>
  <c r="F21" i="5"/>
  <c r="F20" i="5"/>
  <c r="F19" i="5"/>
  <c r="F18" i="5"/>
  <c r="F17" i="5"/>
  <c r="F16" i="5"/>
  <c r="F15" i="5"/>
  <c r="F14" i="5"/>
  <c r="F13" i="5"/>
  <c r="F12" i="5"/>
  <c r="F11" i="5"/>
  <c r="F10" i="5"/>
  <c r="F9" i="5"/>
  <c r="F8" i="5"/>
  <c r="D9" i="4"/>
  <c r="D10" i="4"/>
  <c r="D11" i="4"/>
  <c r="D12" i="4"/>
  <c r="D13" i="4"/>
  <c r="D14" i="4"/>
  <c r="D15" i="4"/>
  <c r="D16" i="4"/>
  <c r="D17" i="4"/>
  <c r="D18" i="4"/>
  <c r="D19" i="4"/>
  <c r="D20" i="4"/>
  <c r="D21" i="4"/>
  <c r="D22" i="4"/>
  <c r="D23" i="4"/>
  <c r="D24" i="4"/>
  <c r="D25" i="4"/>
  <c r="D26" i="4"/>
  <c r="D27" i="4"/>
  <c r="D8" i="4"/>
  <c r="K61" i="15"/>
  <c r="L61" i="15" s="1"/>
  <c r="L60" i="15"/>
  <c r="L59" i="15"/>
  <c r="K56" i="15"/>
  <c r="L55" i="15"/>
  <c r="L54" i="15"/>
  <c r="K51" i="15"/>
  <c r="F28" i="20" s="1"/>
  <c r="F27" i="20" s="1"/>
  <c r="L50" i="15"/>
  <c r="L49" i="15"/>
  <c r="K36" i="15"/>
  <c r="L35" i="15"/>
  <c r="L34" i="15"/>
  <c r="K24" i="15"/>
  <c r="I13" i="15"/>
  <c r="K11" i="15"/>
  <c r="L56" i="15" l="1"/>
  <c r="E28" i="7"/>
  <c r="F9" i="20"/>
  <c r="F14" i="20"/>
  <c r="F11" i="20"/>
  <c r="F15" i="20"/>
  <c r="F19" i="20"/>
  <c r="F23" i="20"/>
  <c r="F12" i="20"/>
  <c r="F16" i="20"/>
  <c r="F20" i="20"/>
  <c r="F24" i="20"/>
  <c r="F13" i="20"/>
  <c r="F17" i="20"/>
  <c r="F21" i="20"/>
  <c r="F25" i="20"/>
  <c r="F8" i="20"/>
  <c r="F18" i="20"/>
  <c r="F22" i="20"/>
  <c r="F26" i="20"/>
  <c r="F10" i="20"/>
  <c r="L36" i="15"/>
  <c r="J28" i="8"/>
  <c r="L51" i="15"/>
  <c r="I12" i="15"/>
  <c r="I19" i="15" s="1"/>
  <c r="K31" i="15"/>
  <c r="K25" i="15"/>
  <c r="K26" i="15" s="1"/>
  <c r="K27" i="15" l="1"/>
  <c r="K28" i="15"/>
  <c r="K29" i="15"/>
  <c r="K30" i="15" s="1"/>
  <c r="I15" i="15"/>
  <c r="D22" i="19" s="1"/>
  <c r="I16" i="15"/>
  <c r="G22" i="18" s="1"/>
  <c r="F22" i="19" s="1"/>
  <c r="I17" i="15"/>
  <c r="S28" i="4" s="1"/>
  <c r="D12" i="19"/>
  <c r="D28" i="19"/>
  <c r="F26" i="1"/>
  <c r="D15" i="19" l="1"/>
  <c r="D25" i="19"/>
  <c r="D11" i="19"/>
  <c r="I18" i="15"/>
  <c r="K18" i="15" s="1"/>
  <c r="G18" i="18"/>
  <c r="F18" i="19" s="1"/>
  <c r="G25" i="18"/>
  <c r="F25" i="19" s="1"/>
  <c r="G25" i="19" s="1"/>
  <c r="D24" i="19"/>
  <c r="D18" i="19"/>
  <c r="G12" i="18"/>
  <c r="F12" i="19" s="1"/>
  <c r="G12" i="19" s="1"/>
  <c r="D21" i="19"/>
  <c r="D27" i="19"/>
  <c r="D14" i="19"/>
  <c r="G28" i="18"/>
  <c r="F28" i="19" s="1"/>
  <c r="G28" i="19" s="1"/>
  <c r="G15" i="18"/>
  <c r="F15" i="19" s="1"/>
  <c r="G24" i="20"/>
  <c r="G12" i="20"/>
  <c r="G23" i="20"/>
  <c r="G19" i="20"/>
  <c r="G27" i="20"/>
  <c r="G11" i="20"/>
  <c r="G8" i="20"/>
  <c r="G18" i="20"/>
  <c r="G22" i="20"/>
  <c r="G10" i="20"/>
  <c r="G16" i="20"/>
  <c r="G17" i="20"/>
  <c r="G15" i="20"/>
  <c r="G9" i="20"/>
  <c r="G20" i="20"/>
  <c r="G26" i="20"/>
  <c r="G14" i="20"/>
  <c r="G21" i="20"/>
  <c r="G25" i="20"/>
  <c r="G13" i="20"/>
  <c r="G21" i="18"/>
  <c r="F21" i="19" s="1"/>
  <c r="G24" i="18"/>
  <c r="F24" i="19" s="1"/>
  <c r="G27" i="18"/>
  <c r="F27" i="19" s="1"/>
  <c r="G11" i="18"/>
  <c r="F11" i="19" s="1"/>
  <c r="G14" i="18"/>
  <c r="F14" i="19" s="1"/>
  <c r="G17" i="18"/>
  <c r="F17" i="19" s="1"/>
  <c r="G20" i="18"/>
  <c r="F20" i="19" s="1"/>
  <c r="G23" i="18"/>
  <c r="F23" i="19" s="1"/>
  <c r="G26" i="18"/>
  <c r="F26" i="19" s="1"/>
  <c r="G10" i="18"/>
  <c r="F10" i="19" s="1"/>
  <c r="D17" i="19"/>
  <c r="D20" i="19"/>
  <c r="D23" i="19"/>
  <c r="D26" i="19"/>
  <c r="D10" i="19"/>
  <c r="G9" i="18"/>
  <c r="F9" i="19" s="1"/>
  <c r="G13" i="18"/>
  <c r="F13" i="19" s="1"/>
  <c r="G16" i="18"/>
  <c r="F16" i="19" s="1"/>
  <c r="G19" i="18"/>
  <c r="F19" i="19" s="1"/>
  <c r="D13" i="19"/>
  <c r="D16" i="19"/>
  <c r="D19" i="19"/>
  <c r="D9" i="19"/>
  <c r="G22" i="19"/>
  <c r="G28" i="20" l="1"/>
  <c r="G15" i="19"/>
  <c r="J15" i="19" s="1"/>
  <c r="G11" i="19"/>
  <c r="J11" i="19" s="1"/>
  <c r="G18" i="19"/>
  <c r="J18" i="19" s="1"/>
  <c r="G26" i="19"/>
  <c r="J26" i="19" s="1"/>
  <c r="G14" i="19"/>
  <c r="J14" i="19" s="1"/>
  <c r="G24" i="19"/>
  <c r="J24" i="19" s="1"/>
  <c r="G16" i="19"/>
  <c r="J16" i="19" s="1"/>
  <c r="G13" i="19"/>
  <c r="J13" i="19" s="1"/>
  <c r="G21" i="19"/>
  <c r="J21" i="19" s="1"/>
  <c r="G23" i="19"/>
  <c r="J23" i="19" s="1"/>
  <c r="G20" i="19"/>
  <c r="J20" i="19" s="1"/>
  <c r="G27" i="19"/>
  <c r="J27" i="19" s="1"/>
  <c r="G29" i="18"/>
  <c r="G10" i="19"/>
  <c r="J10" i="19" s="1"/>
  <c r="G17" i="19"/>
  <c r="J17" i="19" s="1"/>
  <c r="G19" i="19"/>
  <c r="J19" i="19" s="1"/>
  <c r="AC14" i="3"/>
  <c r="AC27" i="3"/>
  <c r="AC11" i="3"/>
  <c r="AC12" i="3"/>
  <c r="AC20" i="3"/>
  <c r="AC15" i="3"/>
  <c r="AC17" i="3"/>
  <c r="AC18" i="3"/>
  <c r="AC22" i="3"/>
  <c r="AC10" i="3"/>
  <c r="AC19" i="3"/>
  <c r="AC13" i="3"/>
  <c r="AC26" i="3"/>
  <c r="AC21" i="3"/>
  <c r="AC16" i="3"/>
  <c r="AC23" i="3"/>
  <c r="AC9" i="3"/>
  <c r="AC28" i="3"/>
  <c r="AC24" i="3"/>
  <c r="AC25" i="3"/>
  <c r="F29" i="19"/>
  <c r="J12" i="19"/>
  <c r="J25" i="19"/>
  <c r="J22" i="19"/>
  <c r="J28" i="19"/>
  <c r="D29" i="19"/>
  <c r="G9" i="19"/>
  <c r="AC29" i="3" l="1"/>
  <c r="G29" i="19"/>
  <c r="J9" i="19"/>
  <c r="J29" i="19" l="1"/>
  <c r="H9" i="19"/>
  <c r="K9" i="19" s="1"/>
  <c r="H10" i="19"/>
  <c r="K10" i="19" s="1"/>
  <c r="H17" i="19"/>
  <c r="K17" i="19" s="1"/>
  <c r="H12" i="19"/>
  <c r="K12" i="19" s="1"/>
  <c r="H22" i="19"/>
  <c r="K22" i="19" s="1"/>
  <c r="H11" i="19"/>
  <c r="K11" i="19" s="1"/>
  <c r="H26" i="19"/>
  <c r="K26" i="19" s="1"/>
  <c r="H15" i="19"/>
  <c r="K15" i="19" s="1"/>
  <c r="H19" i="19"/>
  <c r="K19" i="19" s="1"/>
  <c r="H14" i="19"/>
  <c r="K14" i="19" s="1"/>
  <c r="H21" i="19"/>
  <c r="K21" i="19" s="1"/>
  <c r="H25" i="19"/>
  <c r="K25" i="19" s="1"/>
  <c r="H24" i="19"/>
  <c r="K24" i="19" s="1"/>
  <c r="H28" i="19"/>
  <c r="K28" i="19" s="1"/>
  <c r="H27" i="19"/>
  <c r="K27" i="19" s="1"/>
  <c r="H23" i="19"/>
  <c r="K23" i="19" s="1"/>
  <c r="H18" i="19"/>
  <c r="K18" i="19" s="1"/>
  <c r="H16" i="19"/>
  <c r="K16" i="19" s="1"/>
  <c r="H20" i="19"/>
  <c r="K20" i="19" s="1"/>
  <c r="H13" i="19"/>
  <c r="K13" i="19" s="1"/>
  <c r="M13" i="19" s="1"/>
  <c r="E71" i="19" s="1"/>
  <c r="F71" i="19" s="1"/>
  <c r="V9" i="3"/>
  <c r="V10" i="3"/>
  <c r="V11" i="3"/>
  <c r="V12" i="3"/>
  <c r="V13" i="3"/>
  <c r="V16" i="3"/>
  <c r="V17" i="3"/>
  <c r="V18" i="3"/>
  <c r="V20" i="3"/>
  <c r="V21" i="3"/>
  <c r="V23" i="3"/>
  <c r="V25" i="3"/>
  <c r="V26" i="3"/>
  <c r="V28" i="3"/>
  <c r="M16" i="19" l="1"/>
  <c r="E74" i="19" s="1"/>
  <c r="F74" i="19" s="1"/>
  <c r="M28" i="19"/>
  <c r="E86" i="19" s="1"/>
  <c r="F86" i="19" s="1"/>
  <c r="M14" i="19"/>
  <c r="E72" i="19" s="1"/>
  <c r="F72" i="19" s="1"/>
  <c r="M11" i="19"/>
  <c r="E69" i="19" s="1"/>
  <c r="F69" i="19" s="1"/>
  <c r="M10" i="19"/>
  <c r="E68" i="19" s="1"/>
  <c r="F68" i="19" s="1"/>
  <c r="M18" i="19"/>
  <c r="E76" i="19" s="1"/>
  <c r="F76" i="19" s="1"/>
  <c r="M24" i="19"/>
  <c r="E82" i="19" s="1"/>
  <c r="F82" i="19" s="1"/>
  <c r="M19" i="19"/>
  <c r="E77" i="19" s="1"/>
  <c r="F77" i="19" s="1"/>
  <c r="M22" i="19"/>
  <c r="E80" i="19" s="1"/>
  <c r="F80" i="19" s="1"/>
  <c r="H29" i="19"/>
  <c r="M23" i="19"/>
  <c r="E81" i="19" s="1"/>
  <c r="F81" i="19" s="1"/>
  <c r="M25" i="19"/>
  <c r="E83" i="19" s="1"/>
  <c r="F83" i="19" s="1"/>
  <c r="M15" i="19"/>
  <c r="E73" i="19" s="1"/>
  <c r="F73" i="19" s="1"/>
  <c r="M12" i="19"/>
  <c r="E70" i="19" s="1"/>
  <c r="F70" i="19" s="1"/>
  <c r="K29" i="19"/>
  <c r="L13" i="19" s="1"/>
  <c r="M9" i="19"/>
  <c r="M20" i="19"/>
  <c r="E78" i="19" s="1"/>
  <c r="F78" i="19" s="1"/>
  <c r="M27" i="19"/>
  <c r="E85" i="19" s="1"/>
  <c r="F85" i="19" s="1"/>
  <c r="M21" i="19"/>
  <c r="E79" i="19" s="1"/>
  <c r="F79" i="19" s="1"/>
  <c r="M26" i="19"/>
  <c r="E84" i="19" s="1"/>
  <c r="F84" i="19" s="1"/>
  <c r="M17" i="19"/>
  <c r="E75" i="19" s="1"/>
  <c r="F75" i="19" s="1"/>
  <c r="W28" i="4"/>
  <c r="C9" i="3"/>
  <c r="C10" i="3"/>
  <c r="C11" i="3"/>
  <c r="C12" i="3"/>
  <c r="C13" i="3"/>
  <c r="C14" i="3"/>
  <c r="C15" i="3"/>
  <c r="C16" i="3"/>
  <c r="C17" i="3"/>
  <c r="C18" i="3"/>
  <c r="C19" i="3"/>
  <c r="C29" i="11"/>
  <c r="B26" i="1"/>
  <c r="E26" i="1"/>
  <c r="G25" i="1"/>
  <c r="H27" i="4"/>
  <c r="G24" i="1"/>
  <c r="H26" i="4"/>
  <c r="G23" i="1"/>
  <c r="H25" i="4"/>
  <c r="G22" i="1"/>
  <c r="H24" i="4"/>
  <c r="G21" i="1"/>
  <c r="H23" i="4"/>
  <c r="G20" i="1"/>
  <c r="H22" i="4"/>
  <c r="G19" i="1"/>
  <c r="H21" i="4"/>
  <c r="G18" i="1"/>
  <c r="H20" i="4"/>
  <c r="G17" i="1"/>
  <c r="H19" i="4"/>
  <c r="G16" i="1"/>
  <c r="H18" i="4"/>
  <c r="G15" i="1"/>
  <c r="H17" i="4"/>
  <c r="G14" i="1"/>
  <c r="H16" i="4"/>
  <c r="G13" i="1"/>
  <c r="H15" i="4"/>
  <c r="G12" i="1"/>
  <c r="H14" i="4"/>
  <c r="G11" i="1"/>
  <c r="H13" i="4"/>
  <c r="G10" i="1"/>
  <c r="H12" i="4"/>
  <c r="G9" i="1"/>
  <c r="H11" i="4"/>
  <c r="G8" i="1"/>
  <c r="H10" i="4"/>
  <c r="G7" i="1"/>
  <c r="H9" i="4"/>
  <c r="G6" i="1"/>
  <c r="H8" i="4"/>
  <c r="M28" i="8"/>
  <c r="C28" i="8"/>
  <c r="D59" i="5"/>
  <c r="E58" i="5"/>
  <c r="F58" i="5" s="1"/>
  <c r="E57" i="5"/>
  <c r="F57" i="5" s="1"/>
  <c r="E56" i="5"/>
  <c r="F56" i="5" s="1"/>
  <c r="E55" i="5"/>
  <c r="F55" i="5" s="1"/>
  <c r="E54" i="5"/>
  <c r="F54" i="5" s="1"/>
  <c r="E53" i="5"/>
  <c r="F53" i="5" s="1"/>
  <c r="E52" i="5"/>
  <c r="F52" i="5" s="1"/>
  <c r="E51" i="5"/>
  <c r="F51" i="5" s="1"/>
  <c r="E50" i="5"/>
  <c r="F50" i="5" s="1"/>
  <c r="E49" i="5"/>
  <c r="F49" i="5" s="1"/>
  <c r="E48" i="5"/>
  <c r="F48" i="5" s="1"/>
  <c r="E47" i="5"/>
  <c r="F47" i="5" s="1"/>
  <c r="E46" i="5"/>
  <c r="F46" i="5" s="1"/>
  <c r="E45" i="5"/>
  <c r="F45" i="5" s="1"/>
  <c r="E44" i="5"/>
  <c r="F44" i="5" s="1"/>
  <c r="E43" i="5"/>
  <c r="F43" i="5" s="1"/>
  <c r="E42" i="5"/>
  <c r="F42" i="5" s="1"/>
  <c r="E41" i="5"/>
  <c r="F41" i="5" s="1"/>
  <c r="E40" i="5"/>
  <c r="F40" i="5" s="1"/>
  <c r="E39" i="5"/>
  <c r="AA28" i="5"/>
  <c r="Y28" i="5"/>
  <c r="W28" i="5"/>
  <c r="M28" i="5"/>
  <c r="N21" i="5" s="1"/>
  <c r="B20" i="47" s="1"/>
  <c r="D28" i="5"/>
  <c r="V27" i="5"/>
  <c r="X27" i="5" s="1"/>
  <c r="AB26" i="5"/>
  <c r="AB25" i="5"/>
  <c r="V25" i="5"/>
  <c r="X25" i="5" s="1"/>
  <c r="AB24" i="5"/>
  <c r="V24" i="5"/>
  <c r="X24" i="5" s="1"/>
  <c r="AB23" i="5"/>
  <c r="AB22" i="5"/>
  <c r="V22" i="5"/>
  <c r="X22" i="5" s="1"/>
  <c r="AB21" i="5"/>
  <c r="AB20" i="5"/>
  <c r="V20" i="5"/>
  <c r="X20" i="5" s="1"/>
  <c r="AB19" i="5"/>
  <c r="V19" i="5"/>
  <c r="X19" i="5" s="1"/>
  <c r="AB18" i="5"/>
  <c r="AB17" i="5"/>
  <c r="V17" i="5"/>
  <c r="X17" i="5" s="1"/>
  <c r="AB16" i="5"/>
  <c r="V16" i="5"/>
  <c r="X16" i="5" s="1"/>
  <c r="AB15" i="5"/>
  <c r="V15" i="5"/>
  <c r="X15" i="5" s="1"/>
  <c r="AB14" i="5"/>
  <c r="AB13" i="5"/>
  <c r="V12" i="5"/>
  <c r="X12" i="5" s="1"/>
  <c r="V11" i="5"/>
  <c r="X11" i="5" s="1"/>
  <c r="V10" i="5"/>
  <c r="X10" i="5" s="1"/>
  <c r="V9" i="5"/>
  <c r="X9" i="5" s="1"/>
  <c r="V8" i="5"/>
  <c r="X8" i="5" s="1"/>
  <c r="T8" i="5"/>
  <c r="T28" i="5" s="1"/>
  <c r="B28" i="4"/>
  <c r="I8" i="5" l="1"/>
  <c r="H8" i="65"/>
  <c r="I10" i="5"/>
  <c r="H10" i="65"/>
  <c r="I10" i="65" s="1"/>
  <c r="I12" i="5"/>
  <c r="H12" i="65"/>
  <c r="I12" i="65" s="1"/>
  <c r="I14" i="5"/>
  <c r="H14" i="65"/>
  <c r="I14" i="65" s="1"/>
  <c r="I16" i="5"/>
  <c r="H16" i="65"/>
  <c r="I16" i="65" s="1"/>
  <c r="I18" i="5"/>
  <c r="H18" i="65"/>
  <c r="I18" i="65" s="1"/>
  <c r="I20" i="5"/>
  <c r="H20" i="65"/>
  <c r="I20" i="65" s="1"/>
  <c r="I22" i="5"/>
  <c r="H22" i="65"/>
  <c r="I22" i="65" s="1"/>
  <c r="I24" i="5"/>
  <c r="H24" i="65"/>
  <c r="I24" i="65" s="1"/>
  <c r="I26" i="5"/>
  <c r="H26" i="65"/>
  <c r="I26" i="65" s="1"/>
  <c r="I9" i="5"/>
  <c r="H9" i="65"/>
  <c r="I9" i="65" s="1"/>
  <c r="I11" i="5"/>
  <c r="H11" i="65"/>
  <c r="I11" i="65" s="1"/>
  <c r="I13" i="5"/>
  <c r="H13" i="65"/>
  <c r="I13" i="65" s="1"/>
  <c r="I15" i="5"/>
  <c r="H15" i="65"/>
  <c r="I15" i="65" s="1"/>
  <c r="I17" i="5"/>
  <c r="H17" i="65"/>
  <c r="I17" i="65" s="1"/>
  <c r="I19" i="5"/>
  <c r="H19" i="65"/>
  <c r="I19" i="65" s="1"/>
  <c r="I21" i="5"/>
  <c r="H21" i="65"/>
  <c r="I21" i="65" s="1"/>
  <c r="I23" i="5"/>
  <c r="H23" i="65"/>
  <c r="I23" i="65" s="1"/>
  <c r="I25" i="5"/>
  <c r="H25" i="65"/>
  <c r="I25" i="65" s="1"/>
  <c r="W25" i="65" s="1"/>
  <c r="I27" i="5"/>
  <c r="H27" i="65"/>
  <c r="I27" i="65" s="1"/>
  <c r="C20" i="47"/>
  <c r="H20" i="47"/>
  <c r="N20" i="47"/>
  <c r="G20" i="47"/>
  <c r="D20" i="47"/>
  <c r="F20" i="47"/>
  <c r="K20" i="47"/>
  <c r="M20" i="47"/>
  <c r="J20" i="47"/>
  <c r="I20" i="47"/>
  <c r="E20" i="47"/>
  <c r="L20" i="47"/>
  <c r="L27" i="19"/>
  <c r="L9" i="19"/>
  <c r="AB28" i="5"/>
  <c r="L26" i="19"/>
  <c r="L25" i="19"/>
  <c r="L12" i="19"/>
  <c r="L15" i="19"/>
  <c r="L23" i="19"/>
  <c r="L17" i="19"/>
  <c r="L21" i="19"/>
  <c r="L20" i="19"/>
  <c r="L19" i="19"/>
  <c r="L18" i="19"/>
  <c r="L11" i="19"/>
  <c r="L28" i="19"/>
  <c r="M29" i="19"/>
  <c r="E87" i="19" s="1"/>
  <c r="F87" i="19" s="1"/>
  <c r="E67" i="19"/>
  <c r="F67" i="19" s="1"/>
  <c r="L22" i="19"/>
  <c r="L24" i="19"/>
  <c r="L10" i="19"/>
  <c r="L14" i="19"/>
  <c r="L16" i="19"/>
  <c r="N23" i="5"/>
  <c r="N18" i="5"/>
  <c r="N13" i="5"/>
  <c r="V22" i="3"/>
  <c r="V21" i="5"/>
  <c r="X21" i="5" s="1"/>
  <c r="N26" i="5"/>
  <c r="B25" i="47" s="1"/>
  <c r="N14" i="5"/>
  <c r="B13" i="47" s="1"/>
  <c r="E9" i="8"/>
  <c r="I9" i="4"/>
  <c r="J9" i="4" s="1"/>
  <c r="X9" i="4" s="1"/>
  <c r="E11" i="8"/>
  <c r="I11" i="4"/>
  <c r="J11" i="4" s="1"/>
  <c r="X11" i="4" s="1"/>
  <c r="E13" i="8"/>
  <c r="I13" i="4"/>
  <c r="J13" i="4" s="1"/>
  <c r="X13" i="4" s="1"/>
  <c r="E15" i="8"/>
  <c r="I15" i="4"/>
  <c r="E17" i="8"/>
  <c r="I17" i="4"/>
  <c r="J17" i="4" s="1"/>
  <c r="X17" i="4" s="1"/>
  <c r="E19" i="8"/>
  <c r="I19" i="4"/>
  <c r="J19" i="4" s="1"/>
  <c r="X19" i="4" s="1"/>
  <c r="I21" i="4"/>
  <c r="J21" i="4" s="1"/>
  <c r="X21" i="4" s="1"/>
  <c r="E21" i="8"/>
  <c r="E23" i="8"/>
  <c r="I23" i="4"/>
  <c r="J23" i="4" s="1"/>
  <c r="X23" i="4" s="1"/>
  <c r="I25" i="4"/>
  <c r="J25" i="4" s="1"/>
  <c r="X25" i="4" s="1"/>
  <c r="E25" i="8"/>
  <c r="E27" i="8"/>
  <c r="I27" i="4"/>
  <c r="J27" i="4" s="1"/>
  <c r="X27" i="4" s="1"/>
  <c r="E10" i="8"/>
  <c r="I10" i="4"/>
  <c r="J10" i="4" s="1"/>
  <c r="X10" i="4" s="1"/>
  <c r="I12" i="4"/>
  <c r="J12" i="4" s="1"/>
  <c r="X12" i="4" s="1"/>
  <c r="E12" i="8"/>
  <c r="I14" i="4"/>
  <c r="J14" i="4" s="1"/>
  <c r="X14" i="4" s="1"/>
  <c r="E14" i="8"/>
  <c r="I16" i="4"/>
  <c r="J16" i="4" s="1"/>
  <c r="X16" i="4" s="1"/>
  <c r="E16" i="8"/>
  <c r="I18" i="4"/>
  <c r="J18" i="4" s="1"/>
  <c r="X18" i="4" s="1"/>
  <c r="E18" i="8"/>
  <c r="I20" i="4"/>
  <c r="J20" i="4" s="1"/>
  <c r="X20" i="4" s="1"/>
  <c r="E20" i="8"/>
  <c r="I22" i="4"/>
  <c r="J22" i="4" s="1"/>
  <c r="X22" i="4" s="1"/>
  <c r="E22" i="8"/>
  <c r="I24" i="4"/>
  <c r="J24" i="4" s="1"/>
  <c r="X24" i="4" s="1"/>
  <c r="E24" i="8"/>
  <c r="E26" i="8"/>
  <c r="I26" i="4"/>
  <c r="J26" i="4" s="1"/>
  <c r="X26" i="4" s="1"/>
  <c r="I8" i="4"/>
  <c r="J8" i="4" s="1"/>
  <c r="X8" i="4" s="1"/>
  <c r="E8" i="8"/>
  <c r="G26" i="1"/>
  <c r="D26" i="1"/>
  <c r="D28" i="4"/>
  <c r="E10" i="4" s="1"/>
  <c r="C11" i="73" s="1"/>
  <c r="E59" i="5"/>
  <c r="F59" i="5" s="1"/>
  <c r="H28" i="4"/>
  <c r="F28" i="5"/>
  <c r="G9" i="5" s="1"/>
  <c r="G28" i="8"/>
  <c r="C26" i="1"/>
  <c r="C28" i="7"/>
  <c r="D13" i="7" s="1"/>
  <c r="E28" i="5"/>
  <c r="F39" i="5"/>
  <c r="E11" i="73" l="1"/>
  <c r="D11" i="73"/>
  <c r="B12" i="41"/>
  <c r="E13" i="7"/>
  <c r="AE14" i="3" s="1"/>
  <c r="I28" i="5"/>
  <c r="J12" i="5" s="1"/>
  <c r="K12" i="5" s="1"/>
  <c r="W27" i="65"/>
  <c r="W23" i="65"/>
  <c r="W19" i="65"/>
  <c r="W15" i="65"/>
  <c r="W11" i="65"/>
  <c r="W26" i="65"/>
  <c r="W22" i="65"/>
  <c r="W18" i="65"/>
  <c r="W14" i="65"/>
  <c r="W10" i="65"/>
  <c r="W21" i="65"/>
  <c r="W17" i="65"/>
  <c r="W13" i="65"/>
  <c r="W9" i="65"/>
  <c r="W24" i="65"/>
  <c r="W20" i="65"/>
  <c r="W16" i="65"/>
  <c r="W12" i="65"/>
  <c r="H28" i="65"/>
  <c r="I8" i="65"/>
  <c r="H9" i="5"/>
  <c r="C25" i="47"/>
  <c r="G25" i="47"/>
  <c r="I25" i="47"/>
  <c r="H25" i="47"/>
  <c r="J25" i="47"/>
  <c r="D25" i="47"/>
  <c r="M25" i="47"/>
  <c r="E25" i="47"/>
  <c r="L25" i="47"/>
  <c r="K25" i="47"/>
  <c r="N25" i="47"/>
  <c r="F25" i="47"/>
  <c r="V19" i="3"/>
  <c r="B17" i="47"/>
  <c r="V24" i="3"/>
  <c r="B22" i="47"/>
  <c r="C13" i="47"/>
  <c r="K13" i="47"/>
  <c r="E13" i="47"/>
  <c r="M13" i="47"/>
  <c r="I13" i="47"/>
  <c r="H13" i="47"/>
  <c r="L13" i="47"/>
  <c r="F13" i="47"/>
  <c r="J13" i="47"/>
  <c r="D13" i="47"/>
  <c r="N13" i="47"/>
  <c r="G13" i="47"/>
  <c r="V14" i="3"/>
  <c r="B12" i="47"/>
  <c r="O20" i="47"/>
  <c r="E23" i="4"/>
  <c r="C24" i="73" s="1"/>
  <c r="E21" i="4"/>
  <c r="C22" i="73" s="1"/>
  <c r="E25" i="4"/>
  <c r="C26" i="73" s="1"/>
  <c r="E11" i="4"/>
  <c r="C12" i="73" s="1"/>
  <c r="L29" i="19"/>
  <c r="AD14" i="3"/>
  <c r="F10" i="4"/>
  <c r="N28" i="5"/>
  <c r="G84" i="19"/>
  <c r="H84" i="19" s="1"/>
  <c r="G68" i="19"/>
  <c r="H68" i="19" s="1"/>
  <c r="G71" i="19"/>
  <c r="H71" i="19" s="1"/>
  <c r="G78" i="19"/>
  <c r="H78" i="19" s="1"/>
  <c r="G81" i="19"/>
  <c r="H81" i="19" s="1"/>
  <c r="G80" i="19"/>
  <c r="H80" i="19" s="1"/>
  <c r="G83" i="19"/>
  <c r="H83" i="19" s="1"/>
  <c r="G67" i="19"/>
  <c r="H67" i="19" s="1"/>
  <c r="G74" i="19"/>
  <c r="H74" i="19" s="1"/>
  <c r="G77" i="19"/>
  <c r="H77" i="19" s="1"/>
  <c r="G76" i="19"/>
  <c r="H76" i="19" s="1"/>
  <c r="G79" i="19"/>
  <c r="H79" i="19" s="1"/>
  <c r="G86" i="19"/>
  <c r="H86" i="19" s="1"/>
  <c r="G70" i="19"/>
  <c r="H70" i="19" s="1"/>
  <c r="G73" i="19"/>
  <c r="H73" i="19" s="1"/>
  <c r="G87" i="19"/>
  <c r="G72" i="19"/>
  <c r="H72" i="19" s="1"/>
  <c r="G75" i="19"/>
  <c r="H75" i="19" s="1"/>
  <c r="G82" i="19"/>
  <c r="H82" i="19" s="1"/>
  <c r="G85" i="19"/>
  <c r="H85" i="19" s="1"/>
  <c r="G69" i="19"/>
  <c r="H69" i="19" s="1"/>
  <c r="V18" i="5"/>
  <c r="X18" i="5" s="1"/>
  <c r="V13" i="5"/>
  <c r="X13" i="5" s="1"/>
  <c r="V23" i="5"/>
  <c r="X23" i="5" s="1"/>
  <c r="V15" i="3"/>
  <c r="V14" i="5"/>
  <c r="X14" i="5" s="1"/>
  <c r="V27" i="3"/>
  <c r="V26" i="5"/>
  <c r="X26" i="5" s="1"/>
  <c r="E26" i="4"/>
  <c r="C27" i="73" s="1"/>
  <c r="E12" i="4"/>
  <c r="C13" i="73" s="1"/>
  <c r="E14" i="4"/>
  <c r="C15" i="73" s="1"/>
  <c r="E17" i="4"/>
  <c r="C18" i="73" s="1"/>
  <c r="I28" i="4"/>
  <c r="J15" i="4"/>
  <c r="X15" i="4" s="1"/>
  <c r="E28" i="8"/>
  <c r="F11" i="8" s="1"/>
  <c r="H11" i="8" s="1"/>
  <c r="D19" i="7"/>
  <c r="D25" i="7"/>
  <c r="G17" i="5"/>
  <c r="G23" i="5"/>
  <c r="G15" i="5"/>
  <c r="G18" i="5"/>
  <c r="G19" i="5"/>
  <c r="G25" i="5"/>
  <c r="G26" i="5"/>
  <c r="G27" i="5"/>
  <c r="G20" i="5"/>
  <c r="G22" i="5"/>
  <c r="G24" i="5"/>
  <c r="G28" i="5"/>
  <c r="G14" i="5"/>
  <c r="E24" i="4"/>
  <c r="C25" i="73" s="1"/>
  <c r="E22" i="4"/>
  <c r="C23" i="73" s="1"/>
  <c r="E20" i="4"/>
  <c r="C21" i="73" s="1"/>
  <c r="E19" i="4"/>
  <c r="C20" i="73" s="1"/>
  <c r="E16" i="4"/>
  <c r="C17" i="73" s="1"/>
  <c r="E8" i="4"/>
  <c r="C9" i="73" s="1"/>
  <c r="E9" i="4"/>
  <c r="C10" i="73" s="1"/>
  <c r="E27" i="4"/>
  <c r="C28" i="73" s="1"/>
  <c r="E18" i="4"/>
  <c r="C19" i="73" s="1"/>
  <c r="E15" i="4"/>
  <c r="C16" i="73" s="1"/>
  <c r="E13" i="4"/>
  <c r="C14" i="73" s="1"/>
  <c r="G11" i="5"/>
  <c r="G10" i="5"/>
  <c r="G16" i="5"/>
  <c r="G21" i="5"/>
  <c r="G8" i="5"/>
  <c r="G13" i="5"/>
  <c r="G12" i="5"/>
  <c r="D27" i="7"/>
  <c r="D15" i="7"/>
  <c r="D17" i="7"/>
  <c r="D23" i="7"/>
  <c r="D9" i="7"/>
  <c r="D26" i="7"/>
  <c r="D22" i="7"/>
  <c r="D18" i="7"/>
  <c r="D14" i="7"/>
  <c r="D10" i="7"/>
  <c r="D24" i="7"/>
  <c r="D20" i="7"/>
  <c r="D16" i="7"/>
  <c r="D12" i="7"/>
  <c r="D8" i="7"/>
  <c r="D21" i="7"/>
  <c r="D11" i="7"/>
  <c r="C9" i="13" l="1"/>
  <c r="D9" i="13" s="1"/>
  <c r="C9" i="14"/>
  <c r="D9" i="14" s="1"/>
  <c r="D28" i="73"/>
  <c r="E28" i="73"/>
  <c r="D20" i="73"/>
  <c r="E20" i="73"/>
  <c r="D13" i="73"/>
  <c r="E13" i="73"/>
  <c r="D22" i="73"/>
  <c r="E22" i="73"/>
  <c r="N12" i="41"/>
  <c r="N9" i="40" s="1"/>
  <c r="L12" i="41"/>
  <c r="L9" i="40" s="1"/>
  <c r="J12" i="41"/>
  <c r="J9" i="40" s="1"/>
  <c r="H12" i="41"/>
  <c r="H9" i="40" s="1"/>
  <c r="F12" i="41"/>
  <c r="F9" i="40" s="1"/>
  <c r="D12" i="41"/>
  <c r="D9" i="40" s="1"/>
  <c r="M12" i="41"/>
  <c r="M9" i="40" s="1"/>
  <c r="K12" i="41"/>
  <c r="K9" i="40" s="1"/>
  <c r="I12" i="41"/>
  <c r="I9" i="40" s="1"/>
  <c r="E12" i="41"/>
  <c r="E9" i="40" s="1"/>
  <c r="G12" i="41"/>
  <c r="G9" i="40" s="1"/>
  <c r="C12" i="41"/>
  <c r="C9" i="40" s="1"/>
  <c r="E17" i="73"/>
  <c r="D17" i="73"/>
  <c r="D14" i="73"/>
  <c r="E14" i="73"/>
  <c r="D10" i="73"/>
  <c r="E10" i="73"/>
  <c r="D21" i="73"/>
  <c r="E21" i="73"/>
  <c r="E27" i="73"/>
  <c r="D27" i="73"/>
  <c r="D24" i="73"/>
  <c r="E24" i="73"/>
  <c r="H11" i="73"/>
  <c r="D19" i="73"/>
  <c r="E19" i="73"/>
  <c r="E25" i="73"/>
  <c r="D25" i="73"/>
  <c r="D15" i="73"/>
  <c r="E15" i="73"/>
  <c r="D26" i="73"/>
  <c r="E26" i="73"/>
  <c r="D16" i="73"/>
  <c r="E16" i="73"/>
  <c r="D9" i="73"/>
  <c r="E9" i="73"/>
  <c r="C29" i="73"/>
  <c r="E23" i="73"/>
  <c r="D23" i="73"/>
  <c r="D18" i="73"/>
  <c r="E18" i="73"/>
  <c r="D12" i="73"/>
  <c r="E12" i="73"/>
  <c r="J21" i="5"/>
  <c r="K21" i="5" s="1"/>
  <c r="J11" i="5"/>
  <c r="K11" i="5" s="1"/>
  <c r="J16" i="5"/>
  <c r="K16" i="5" s="1"/>
  <c r="J14" i="5"/>
  <c r="K14" i="5" s="1"/>
  <c r="J24" i="5"/>
  <c r="K24" i="5" s="1"/>
  <c r="J27" i="5"/>
  <c r="K27" i="5" s="1"/>
  <c r="J15" i="5"/>
  <c r="K15" i="5" s="1"/>
  <c r="J25" i="5"/>
  <c r="K25" i="5" s="1"/>
  <c r="J8" i="5"/>
  <c r="K8" i="5" s="1"/>
  <c r="J10" i="5"/>
  <c r="K10" i="5" s="1"/>
  <c r="J28" i="5"/>
  <c r="AG28" i="5" s="1"/>
  <c r="AH28" i="5" s="1"/>
  <c r="J18" i="5"/>
  <c r="K18" i="5" s="1"/>
  <c r="J20" i="5"/>
  <c r="K20" i="5" s="1"/>
  <c r="B11" i="48"/>
  <c r="K11" i="48" s="1"/>
  <c r="J26" i="5"/>
  <c r="K26" i="5" s="1"/>
  <c r="J13" i="5"/>
  <c r="K13" i="5" s="1"/>
  <c r="J17" i="5"/>
  <c r="K17" i="5" s="1"/>
  <c r="J22" i="5"/>
  <c r="K22" i="5" s="1"/>
  <c r="J9" i="5"/>
  <c r="K9" i="5" s="1"/>
  <c r="J19" i="5"/>
  <c r="K19" i="5" s="1"/>
  <c r="J23" i="5"/>
  <c r="K23" i="5" s="1"/>
  <c r="B17" i="41"/>
  <c r="E18" i="7"/>
  <c r="AE19" i="3" s="1"/>
  <c r="B7" i="41"/>
  <c r="E8" i="7"/>
  <c r="AE9" i="3" s="1"/>
  <c r="B21" i="41"/>
  <c r="E22" i="7"/>
  <c r="AE23" i="3" s="1"/>
  <c r="B11" i="41"/>
  <c r="E12" i="7"/>
  <c r="AE13" i="3" s="1"/>
  <c r="B9" i="41"/>
  <c r="E10" i="7"/>
  <c r="AE11" i="3" s="1"/>
  <c r="B25" i="41"/>
  <c r="E26" i="7"/>
  <c r="AE27" i="3" s="1"/>
  <c r="B14" i="41"/>
  <c r="E15" i="7"/>
  <c r="AE16" i="3" s="1"/>
  <c r="B20" i="41"/>
  <c r="E21" i="7"/>
  <c r="AE22" i="3" s="1"/>
  <c r="B22" i="41"/>
  <c r="E23" i="7"/>
  <c r="AE24" i="3" s="1"/>
  <c r="B24" i="41"/>
  <c r="E25" i="7"/>
  <c r="AE26" i="3" s="1"/>
  <c r="B23" i="41"/>
  <c r="E24" i="7"/>
  <c r="AE25" i="3" s="1"/>
  <c r="B16" i="41"/>
  <c r="E17" i="7"/>
  <c r="AE18" i="3" s="1"/>
  <c r="B18" i="41"/>
  <c r="E19" i="7"/>
  <c r="AE20" i="3" s="1"/>
  <c r="B10" i="41"/>
  <c r="E11" i="7"/>
  <c r="AE12" i="3" s="1"/>
  <c r="B15" i="41"/>
  <c r="E16" i="7"/>
  <c r="AE17" i="3" s="1"/>
  <c r="B13" i="41"/>
  <c r="E14" i="7"/>
  <c r="AE15" i="3" s="1"/>
  <c r="B8" i="41"/>
  <c r="E9" i="7"/>
  <c r="AE10" i="3" s="1"/>
  <c r="B26" i="41"/>
  <c r="E27" i="7"/>
  <c r="AE28" i="3" s="1"/>
  <c r="B19" i="41"/>
  <c r="E20" i="7"/>
  <c r="AE21" i="3" s="1"/>
  <c r="W8" i="65"/>
  <c r="I28" i="65"/>
  <c r="J8" i="65" s="1"/>
  <c r="H13" i="5"/>
  <c r="H10" i="5"/>
  <c r="H24" i="5"/>
  <c r="H26" i="5"/>
  <c r="H15" i="5"/>
  <c r="O13" i="47"/>
  <c r="C17" i="47"/>
  <c r="K17" i="47"/>
  <c r="I17" i="47"/>
  <c r="E17" i="47"/>
  <c r="D17" i="47"/>
  <c r="M17" i="47"/>
  <c r="L17" i="47"/>
  <c r="G17" i="47"/>
  <c r="F17" i="47"/>
  <c r="J17" i="47"/>
  <c r="H17" i="47"/>
  <c r="N17" i="47"/>
  <c r="H8" i="5"/>
  <c r="H22" i="5"/>
  <c r="H25" i="5"/>
  <c r="H23" i="5"/>
  <c r="C22" i="47"/>
  <c r="L22" i="47"/>
  <c r="I22" i="47"/>
  <c r="N22" i="47"/>
  <c r="G22" i="47"/>
  <c r="E22" i="47"/>
  <c r="H22" i="47"/>
  <c r="J22" i="47"/>
  <c r="K22" i="47"/>
  <c r="M22" i="47"/>
  <c r="D22" i="47"/>
  <c r="F22" i="47"/>
  <c r="O25" i="47"/>
  <c r="H21" i="5"/>
  <c r="G52" i="5" s="1"/>
  <c r="H11" i="5"/>
  <c r="H14" i="5"/>
  <c r="H20" i="5"/>
  <c r="H19" i="5"/>
  <c r="H17" i="5"/>
  <c r="H16" i="5"/>
  <c r="H27" i="5"/>
  <c r="H18" i="5"/>
  <c r="C12" i="47"/>
  <c r="M12" i="47"/>
  <c r="K12" i="47"/>
  <c r="G12" i="47"/>
  <c r="F12" i="47"/>
  <c r="L12" i="47"/>
  <c r="E12" i="47"/>
  <c r="D12" i="47"/>
  <c r="J12" i="47"/>
  <c r="N12" i="47"/>
  <c r="B27" i="47"/>
  <c r="H12" i="47"/>
  <c r="I12" i="47"/>
  <c r="F23" i="4"/>
  <c r="F21" i="4"/>
  <c r="F11" i="4"/>
  <c r="F25" i="4"/>
  <c r="G25" i="4" s="1"/>
  <c r="AD21" i="3"/>
  <c r="AD19" i="3"/>
  <c r="AD9" i="3"/>
  <c r="AD25" i="3"/>
  <c r="AD23" i="3"/>
  <c r="AD18" i="3"/>
  <c r="AD20" i="3"/>
  <c r="AD13" i="3"/>
  <c r="AD11" i="3"/>
  <c r="AD27" i="3"/>
  <c r="AD16" i="3"/>
  <c r="AD12" i="3"/>
  <c r="AD17" i="3"/>
  <c r="AD15" i="3"/>
  <c r="AD10" i="3"/>
  <c r="AD28" i="3"/>
  <c r="AD22" i="3"/>
  <c r="AD24" i="3"/>
  <c r="AD26" i="3"/>
  <c r="F13" i="4"/>
  <c r="F8" i="4"/>
  <c r="F22" i="4"/>
  <c r="F14" i="4"/>
  <c r="G21" i="4"/>
  <c r="F20" i="4"/>
  <c r="F18" i="4"/>
  <c r="F16" i="4"/>
  <c r="F24" i="4"/>
  <c r="F12" i="4"/>
  <c r="G11" i="4"/>
  <c r="F9" i="4"/>
  <c r="F17" i="4"/>
  <c r="F15" i="4"/>
  <c r="F27" i="4"/>
  <c r="F19" i="4"/>
  <c r="F26" i="4"/>
  <c r="G10" i="4"/>
  <c r="R12" i="5"/>
  <c r="S12" i="5" s="1"/>
  <c r="U13" i="3" s="1"/>
  <c r="H12" i="5"/>
  <c r="V28" i="5"/>
  <c r="X28" i="5"/>
  <c r="AG24" i="5"/>
  <c r="AH24" i="5" s="1"/>
  <c r="R24" i="5"/>
  <c r="S24" i="5" s="1"/>
  <c r="U25" i="3" s="1"/>
  <c r="J28" i="4"/>
  <c r="K20" i="4" s="1"/>
  <c r="F22" i="8"/>
  <c r="H22" i="8" s="1"/>
  <c r="F21" i="8"/>
  <c r="H21" i="8" s="1"/>
  <c r="F17" i="8"/>
  <c r="H17" i="8" s="1"/>
  <c r="F26" i="8"/>
  <c r="H26" i="8" s="1"/>
  <c r="F19" i="8"/>
  <c r="H19" i="8" s="1"/>
  <c r="F15" i="8"/>
  <c r="H15" i="8" s="1"/>
  <c r="F23" i="8"/>
  <c r="H23" i="8" s="1"/>
  <c r="F24" i="8"/>
  <c r="H24" i="8" s="1"/>
  <c r="F16" i="8"/>
  <c r="H16" i="8" s="1"/>
  <c r="F10" i="8"/>
  <c r="H10" i="8" s="1"/>
  <c r="F12" i="8"/>
  <c r="H12" i="8" s="1"/>
  <c r="F20" i="8"/>
  <c r="H20" i="8" s="1"/>
  <c r="F27" i="8"/>
  <c r="H27" i="8" s="1"/>
  <c r="F9" i="8"/>
  <c r="H9" i="8" s="1"/>
  <c r="F14" i="8"/>
  <c r="H14" i="8" s="1"/>
  <c r="F8" i="8"/>
  <c r="H8" i="8" s="1"/>
  <c r="F25" i="8"/>
  <c r="H25" i="8" s="1"/>
  <c r="F13" i="8"/>
  <c r="H13" i="8" s="1"/>
  <c r="F18" i="8"/>
  <c r="H18" i="8" s="1"/>
  <c r="AG12" i="5"/>
  <c r="AH12" i="5" s="1"/>
  <c r="E28" i="4"/>
  <c r="D28" i="7"/>
  <c r="AG8" i="5"/>
  <c r="AH8" i="5" s="1"/>
  <c r="AG21" i="5"/>
  <c r="AH21" i="5" s="1"/>
  <c r="R8" i="5"/>
  <c r="G46" i="5" l="1"/>
  <c r="R11" i="5"/>
  <c r="S11" i="5" s="1"/>
  <c r="U12" i="3" s="1"/>
  <c r="G39" i="5"/>
  <c r="G55" i="5"/>
  <c r="H55" i="5" s="1"/>
  <c r="C11" i="13"/>
  <c r="D11" i="13" s="1"/>
  <c r="C11" i="14"/>
  <c r="D11" i="14" s="1"/>
  <c r="G23" i="4"/>
  <c r="C22" i="13"/>
  <c r="D22" i="13" s="1"/>
  <c r="C22" i="14"/>
  <c r="D22" i="14" s="1"/>
  <c r="H23" i="73"/>
  <c r="C25" i="13"/>
  <c r="D25" i="13" s="1"/>
  <c r="C25" i="14"/>
  <c r="D25" i="14" s="1"/>
  <c r="C16" i="13"/>
  <c r="D16" i="13" s="1"/>
  <c r="C16" i="14"/>
  <c r="D16" i="14" s="1"/>
  <c r="C23" i="13"/>
  <c r="D23" i="13" s="1"/>
  <c r="C23" i="14"/>
  <c r="D23" i="14" s="1"/>
  <c r="C12" i="13"/>
  <c r="D12" i="13" s="1"/>
  <c r="C12" i="14"/>
  <c r="D12" i="14" s="1"/>
  <c r="C24" i="13"/>
  <c r="D24" i="13" s="1"/>
  <c r="C24" i="14"/>
  <c r="D24" i="14" s="1"/>
  <c r="J19" i="41"/>
  <c r="J16" i="40" s="1"/>
  <c r="I19" i="41"/>
  <c r="I16" i="40" s="1"/>
  <c r="H19" i="41"/>
  <c r="H16" i="40" s="1"/>
  <c r="N19" i="41"/>
  <c r="N16" i="40" s="1"/>
  <c r="L19" i="41"/>
  <c r="L16" i="40" s="1"/>
  <c r="M19" i="41"/>
  <c r="M16" i="40" s="1"/>
  <c r="G19" i="41"/>
  <c r="G16" i="40" s="1"/>
  <c r="K19" i="41"/>
  <c r="K16" i="40" s="1"/>
  <c r="F19" i="41"/>
  <c r="F16" i="40" s="1"/>
  <c r="E19" i="41"/>
  <c r="E16" i="40" s="1"/>
  <c r="D19" i="41"/>
  <c r="D16" i="40" s="1"/>
  <c r="C19" i="41"/>
  <c r="C16" i="40" s="1"/>
  <c r="M8" i="41"/>
  <c r="M5" i="40" s="1"/>
  <c r="I8" i="41"/>
  <c r="I5" i="40" s="1"/>
  <c r="E8" i="41"/>
  <c r="E5" i="40" s="1"/>
  <c r="G8" i="41"/>
  <c r="G5" i="40" s="1"/>
  <c r="N8" i="41"/>
  <c r="N5" i="40" s="1"/>
  <c r="H8" i="41"/>
  <c r="H5" i="40" s="1"/>
  <c r="L8" i="41"/>
  <c r="L5" i="40" s="1"/>
  <c r="F8" i="41"/>
  <c r="F5" i="40" s="1"/>
  <c r="J8" i="41"/>
  <c r="J5" i="40" s="1"/>
  <c r="K8" i="41"/>
  <c r="K5" i="40" s="1"/>
  <c r="D8" i="41"/>
  <c r="D5" i="40" s="1"/>
  <c r="C8" i="41"/>
  <c r="C5" i="40" s="1"/>
  <c r="M15" i="41"/>
  <c r="M12" i="40" s="1"/>
  <c r="I15" i="41"/>
  <c r="I12" i="40" s="1"/>
  <c r="K15" i="41"/>
  <c r="K12" i="40" s="1"/>
  <c r="G15" i="41"/>
  <c r="G12" i="40" s="1"/>
  <c r="N15" i="41"/>
  <c r="N12" i="40" s="1"/>
  <c r="E15" i="41"/>
  <c r="E12" i="40" s="1"/>
  <c r="L15" i="41"/>
  <c r="L12" i="40" s="1"/>
  <c r="J15" i="41"/>
  <c r="J12" i="40" s="1"/>
  <c r="F15" i="41"/>
  <c r="F12" i="40" s="1"/>
  <c r="H15" i="41"/>
  <c r="H12" i="40" s="1"/>
  <c r="D15" i="41"/>
  <c r="D12" i="40" s="1"/>
  <c r="C15" i="41"/>
  <c r="C12" i="40" s="1"/>
  <c r="I18" i="41"/>
  <c r="I15" i="40" s="1"/>
  <c r="K18" i="41"/>
  <c r="K15" i="40" s="1"/>
  <c r="M18" i="41"/>
  <c r="M15" i="40" s="1"/>
  <c r="L18" i="41"/>
  <c r="L15" i="40" s="1"/>
  <c r="N18" i="41"/>
  <c r="N15" i="40" s="1"/>
  <c r="H18" i="41"/>
  <c r="H15" i="40" s="1"/>
  <c r="J18" i="41"/>
  <c r="J15" i="40" s="1"/>
  <c r="E18" i="41"/>
  <c r="E15" i="40" s="1"/>
  <c r="D18" i="41"/>
  <c r="D15" i="40" s="1"/>
  <c r="G18" i="41"/>
  <c r="G15" i="40" s="1"/>
  <c r="F18" i="41"/>
  <c r="F15" i="40" s="1"/>
  <c r="C18" i="41"/>
  <c r="C15" i="40" s="1"/>
  <c r="M23" i="41"/>
  <c r="M20" i="40" s="1"/>
  <c r="K23" i="41"/>
  <c r="K20" i="40" s="1"/>
  <c r="E23" i="41"/>
  <c r="E20" i="40" s="1"/>
  <c r="D23" i="41"/>
  <c r="D20" i="40" s="1"/>
  <c r="J23" i="41"/>
  <c r="J20" i="40" s="1"/>
  <c r="N23" i="41"/>
  <c r="N20" i="40" s="1"/>
  <c r="L23" i="41"/>
  <c r="L20" i="40" s="1"/>
  <c r="F23" i="41"/>
  <c r="F20" i="40" s="1"/>
  <c r="G23" i="41"/>
  <c r="G20" i="40" s="1"/>
  <c r="I23" i="41"/>
  <c r="I20" i="40" s="1"/>
  <c r="H23" i="41"/>
  <c r="H20" i="40" s="1"/>
  <c r="C23" i="41"/>
  <c r="C20" i="40" s="1"/>
  <c r="M22" i="41"/>
  <c r="M19" i="40" s="1"/>
  <c r="J22" i="41"/>
  <c r="J19" i="40" s="1"/>
  <c r="I22" i="41"/>
  <c r="I19" i="40" s="1"/>
  <c r="F22" i="41"/>
  <c r="F19" i="40" s="1"/>
  <c r="K22" i="41"/>
  <c r="K19" i="40" s="1"/>
  <c r="H22" i="41"/>
  <c r="H19" i="40" s="1"/>
  <c r="N22" i="41"/>
  <c r="N19" i="40" s="1"/>
  <c r="L22" i="41"/>
  <c r="L19" i="40" s="1"/>
  <c r="E22" i="41"/>
  <c r="E19" i="40" s="1"/>
  <c r="D22" i="41"/>
  <c r="D19" i="40" s="1"/>
  <c r="G22" i="41"/>
  <c r="G19" i="40" s="1"/>
  <c r="C22" i="41"/>
  <c r="C19" i="40" s="1"/>
  <c r="N14" i="41"/>
  <c r="N11" i="40" s="1"/>
  <c r="L14" i="41"/>
  <c r="L11" i="40" s="1"/>
  <c r="J14" i="41"/>
  <c r="J11" i="40" s="1"/>
  <c r="F14" i="41"/>
  <c r="F11" i="40" s="1"/>
  <c r="M14" i="41"/>
  <c r="M11" i="40" s="1"/>
  <c r="I14" i="41"/>
  <c r="I11" i="40" s="1"/>
  <c r="H14" i="41"/>
  <c r="H11" i="40" s="1"/>
  <c r="D14" i="41"/>
  <c r="D11" i="40" s="1"/>
  <c r="E14" i="41"/>
  <c r="E11" i="40" s="1"/>
  <c r="K14" i="41"/>
  <c r="K11" i="40" s="1"/>
  <c r="G14" i="41"/>
  <c r="G11" i="40" s="1"/>
  <c r="C14" i="41"/>
  <c r="C11" i="40" s="1"/>
  <c r="N9" i="41"/>
  <c r="N6" i="40" s="1"/>
  <c r="L9" i="41"/>
  <c r="L6" i="40" s="1"/>
  <c r="J9" i="41"/>
  <c r="J6" i="40" s="1"/>
  <c r="H9" i="41"/>
  <c r="H6" i="40" s="1"/>
  <c r="F9" i="41"/>
  <c r="F6" i="40" s="1"/>
  <c r="D9" i="41"/>
  <c r="D6" i="40" s="1"/>
  <c r="M9" i="41"/>
  <c r="M6" i="40" s="1"/>
  <c r="E9" i="41"/>
  <c r="E6" i="40" s="1"/>
  <c r="I9" i="41"/>
  <c r="I6" i="40" s="1"/>
  <c r="K9" i="41"/>
  <c r="K6" i="40" s="1"/>
  <c r="G9" i="41"/>
  <c r="G6" i="40" s="1"/>
  <c r="C9" i="41"/>
  <c r="C6" i="40" s="1"/>
  <c r="O6" i="40" s="1"/>
  <c r="L21" i="41"/>
  <c r="L18" i="40" s="1"/>
  <c r="H21" i="41"/>
  <c r="H18" i="40" s="1"/>
  <c r="E21" i="41"/>
  <c r="E18" i="40" s="1"/>
  <c r="G21" i="41"/>
  <c r="G18" i="40" s="1"/>
  <c r="I21" i="41"/>
  <c r="I18" i="40" s="1"/>
  <c r="J21" i="41"/>
  <c r="J18" i="40" s="1"/>
  <c r="K21" i="41"/>
  <c r="K18" i="40" s="1"/>
  <c r="F21" i="41"/>
  <c r="F18" i="40" s="1"/>
  <c r="D21" i="41"/>
  <c r="D18" i="40" s="1"/>
  <c r="M21" i="41"/>
  <c r="M18" i="40" s="1"/>
  <c r="N21" i="41"/>
  <c r="N18" i="40" s="1"/>
  <c r="C21" i="41"/>
  <c r="C18" i="40" s="1"/>
  <c r="J17" i="41"/>
  <c r="J14" i="40" s="1"/>
  <c r="H17" i="41"/>
  <c r="H14" i="40" s="1"/>
  <c r="K17" i="41"/>
  <c r="K14" i="40" s="1"/>
  <c r="F17" i="41"/>
  <c r="F14" i="40" s="1"/>
  <c r="D17" i="41"/>
  <c r="D14" i="40" s="1"/>
  <c r="N17" i="41"/>
  <c r="N14" i="40" s="1"/>
  <c r="M17" i="41"/>
  <c r="M14" i="40" s="1"/>
  <c r="L17" i="41"/>
  <c r="L14" i="40" s="1"/>
  <c r="I17" i="41"/>
  <c r="I14" i="40" s="1"/>
  <c r="E17" i="41"/>
  <c r="E14" i="40" s="1"/>
  <c r="G17" i="41"/>
  <c r="G14" i="40" s="1"/>
  <c r="C17" i="41"/>
  <c r="C14" i="40" s="1"/>
  <c r="H12" i="73"/>
  <c r="H10" i="73"/>
  <c r="H13" i="73"/>
  <c r="H28" i="73"/>
  <c r="C19" i="13"/>
  <c r="D19" i="13" s="1"/>
  <c r="C19" i="14"/>
  <c r="D19" i="14" s="1"/>
  <c r="C18" i="14"/>
  <c r="D18" i="14" s="1"/>
  <c r="C18" i="13"/>
  <c r="D18" i="13" s="1"/>
  <c r="C8" i="13"/>
  <c r="D8" i="13" s="1"/>
  <c r="C8" i="14"/>
  <c r="D8" i="14" s="1"/>
  <c r="C15" i="13"/>
  <c r="D15" i="13" s="1"/>
  <c r="C15" i="14"/>
  <c r="D15" i="14" s="1"/>
  <c r="C13" i="13"/>
  <c r="D13" i="13" s="1"/>
  <c r="C13" i="14"/>
  <c r="D13" i="14" s="1"/>
  <c r="C10" i="14"/>
  <c r="D10" i="14" s="1"/>
  <c r="C10" i="13"/>
  <c r="D10" i="13" s="1"/>
  <c r="H16" i="73"/>
  <c r="H15" i="73"/>
  <c r="H19" i="73"/>
  <c r="C14" i="13"/>
  <c r="D14" i="13" s="1"/>
  <c r="C14" i="14"/>
  <c r="D14" i="14" s="1"/>
  <c r="C7" i="13"/>
  <c r="D7" i="13" s="1"/>
  <c r="C7" i="14"/>
  <c r="H9" i="73"/>
  <c r="D29" i="73"/>
  <c r="H26" i="73"/>
  <c r="H27" i="73"/>
  <c r="H17" i="73"/>
  <c r="C26" i="14"/>
  <c r="D26" i="14" s="1"/>
  <c r="C26" i="13"/>
  <c r="D26" i="13" s="1"/>
  <c r="C17" i="13"/>
  <c r="D17" i="13" s="1"/>
  <c r="C17" i="14"/>
  <c r="D17" i="14" s="1"/>
  <c r="C21" i="13"/>
  <c r="D21" i="13" s="1"/>
  <c r="C21" i="14"/>
  <c r="D21" i="14" s="1"/>
  <c r="C20" i="13"/>
  <c r="D20" i="13" s="1"/>
  <c r="C20" i="14"/>
  <c r="D20" i="14" s="1"/>
  <c r="N26" i="41"/>
  <c r="N23" i="40" s="1"/>
  <c r="L26" i="41"/>
  <c r="L23" i="40" s="1"/>
  <c r="H26" i="41"/>
  <c r="H23" i="40" s="1"/>
  <c r="D26" i="41"/>
  <c r="D23" i="40" s="1"/>
  <c r="G26" i="41"/>
  <c r="G23" i="40" s="1"/>
  <c r="M26" i="41"/>
  <c r="M23" i="40" s="1"/>
  <c r="J26" i="41"/>
  <c r="J23" i="40" s="1"/>
  <c r="F26" i="41"/>
  <c r="F23" i="40" s="1"/>
  <c r="I26" i="41"/>
  <c r="I23" i="40" s="1"/>
  <c r="K26" i="41"/>
  <c r="K23" i="40" s="1"/>
  <c r="E26" i="41"/>
  <c r="E23" i="40" s="1"/>
  <c r="C26" i="41"/>
  <c r="C23" i="40" s="1"/>
  <c r="O23" i="40" s="1"/>
  <c r="M13" i="41"/>
  <c r="M10" i="40" s="1"/>
  <c r="I13" i="41"/>
  <c r="I10" i="40" s="1"/>
  <c r="K13" i="41"/>
  <c r="K10" i="40" s="1"/>
  <c r="E13" i="41"/>
  <c r="E10" i="40" s="1"/>
  <c r="G13" i="41"/>
  <c r="G10" i="40" s="1"/>
  <c r="N13" i="41"/>
  <c r="N10" i="40" s="1"/>
  <c r="J13" i="41"/>
  <c r="J10" i="40" s="1"/>
  <c r="H13" i="41"/>
  <c r="H10" i="40" s="1"/>
  <c r="L13" i="41"/>
  <c r="L10" i="40" s="1"/>
  <c r="F13" i="41"/>
  <c r="F10" i="40" s="1"/>
  <c r="D13" i="41"/>
  <c r="D10" i="40" s="1"/>
  <c r="C13" i="41"/>
  <c r="C10" i="40" s="1"/>
  <c r="O10" i="40" s="1"/>
  <c r="M10" i="41"/>
  <c r="M7" i="40" s="1"/>
  <c r="H10" i="41"/>
  <c r="H7" i="40" s="1"/>
  <c r="D10" i="41"/>
  <c r="D7" i="40" s="1"/>
  <c r="I10" i="41"/>
  <c r="I7" i="40" s="1"/>
  <c r="K10" i="41"/>
  <c r="K7" i="40" s="1"/>
  <c r="G10" i="41"/>
  <c r="G7" i="40" s="1"/>
  <c r="L10" i="41"/>
  <c r="L7" i="40" s="1"/>
  <c r="J10" i="41"/>
  <c r="J7" i="40" s="1"/>
  <c r="N10" i="41"/>
  <c r="N7" i="40" s="1"/>
  <c r="F10" i="41"/>
  <c r="F7" i="40" s="1"/>
  <c r="E10" i="41"/>
  <c r="E7" i="40" s="1"/>
  <c r="C10" i="41"/>
  <c r="C7" i="40" s="1"/>
  <c r="O7" i="40" s="1"/>
  <c r="L16" i="41"/>
  <c r="L13" i="40" s="1"/>
  <c r="N16" i="41"/>
  <c r="N13" i="40" s="1"/>
  <c r="J16" i="41"/>
  <c r="J13" i="40" s="1"/>
  <c r="I16" i="41"/>
  <c r="I13" i="40" s="1"/>
  <c r="H16" i="41"/>
  <c r="H13" i="40" s="1"/>
  <c r="F16" i="41"/>
  <c r="F13" i="40" s="1"/>
  <c r="D16" i="41"/>
  <c r="D13" i="40" s="1"/>
  <c r="M16" i="41"/>
  <c r="M13" i="40" s="1"/>
  <c r="K16" i="41"/>
  <c r="K13" i="40" s="1"/>
  <c r="G16" i="41"/>
  <c r="G13" i="40" s="1"/>
  <c r="E16" i="41"/>
  <c r="E13" i="40" s="1"/>
  <c r="C16" i="41"/>
  <c r="C13" i="40" s="1"/>
  <c r="O13" i="40" s="1"/>
  <c r="N24" i="41"/>
  <c r="N21" i="40" s="1"/>
  <c r="J24" i="41"/>
  <c r="J21" i="40" s="1"/>
  <c r="F24" i="41"/>
  <c r="F21" i="40" s="1"/>
  <c r="E24" i="41"/>
  <c r="E21" i="40" s="1"/>
  <c r="G24" i="41"/>
  <c r="G21" i="40" s="1"/>
  <c r="I24" i="41"/>
  <c r="I21" i="40" s="1"/>
  <c r="H24" i="41"/>
  <c r="H21" i="40" s="1"/>
  <c r="K24" i="41"/>
  <c r="K21" i="40" s="1"/>
  <c r="M24" i="41"/>
  <c r="M21" i="40" s="1"/>
  <c r="L24" i="41"/>
  <c r="L21" i="40" s="1"/>
  <c r="D24" i="41"/>
  <c r="D21" i="40" s="1"/>
  <c r="C24" i="41"/>
  <c r="C21" i="40" s="1"/>
  <c r="O21" i="40" s="1"/>
  <c r="F20" i="41"/>
  <c r="F17" i="40" s="1"/>
  <c r="E20" i="41"/>
  <c r="E17" i="40" s="1"/>
  <c r="M20" i="41"/>
  <c r="M17" i="40" s="1"/>
  <c r="L20" i="41"/>
  <c r="L17" i="40" s="1"/>
  <c r="J20" i="41"/>
  <c r="J17" i="40" s="1"/>
  <c r="G20" i="41"/>
  <c r="G17" i="40" s="1"/>
  <c r="I20" i="41"/>
  <c r="I17" i="40" s="1"/>
  <c r="H20" i="41"/>
  <c r="H17" i="40" s="1"/>
  <c r="K20" i="41"/>
  <c r="K17" i="40" s="1"/>
  <c r="D20" i="41"/>
  <c r="D17" i="40" s="1"/>
  <c r="N20" i="41"/>
  <c r="N17" i="40" s="1"/>
  <c r="C20" i="41"/>
  <c r="C17" i="40" s="1"/>
  <c r="N25" i="41"/>
  <c r="N22" i="40" s="1"/>
  <c r="H25" i="41"/>
  <c r="H22" i="40" s="1"/>
  <c r="E25" i="41"/>
  <c r="E22" i="40" s="1"/>
  <c r="G25" i="41"/>
  <c r="G22" i="40" s="1"/>
  <c r="L25" i="41"/>
  <c r="L22" i="40" s="1"/>
  <c r="J25" i="41"/>
  <c r="J22" i="40" s="1"/>
  <c r="D25" i="41"/>
  <c r="D22" i="40" s="1"/>
  <c r="I25" i="41"/>
  <c r="I22" i="40" s="1"/>
  <c r="M25" i="41"/>
  <c r="M22" i="40" s="1"/>
  <c r="K25" i="41"/>
  <c r="K22" i="40" s="1"/>
  <c r="F25" i="41"/>
  <c r="F22" i="40" s="1"/>
  <c r="C25" i="41"/>
  <c r="C22" i="40" s="1"/>
  <c r="E11" i="41"/>
  <c r="E8" i="40" s="1"/>
  <c r="N11" i="41"/>
  <c r="N8" i="40" s="1"/>
  <c r="H11" i="41"/>
  <c r="H8" i="40" s="1"/>
  <c r="L11" i="41"/>
  <c r="L8" i="40" s="1"/>
  <c r="I11" i="41"/>
  <c r="I8" i="40" s="1"/>
  <c r="D11" i="41"/>
  <c r="D8" i="40" s="1"/>
  <c r="M11" i="41"/>
  <c r="M8" i="40" s="1"/>
  <c r="J11" i="41"/>
  <c r="J8" i="40" s="1"/>
  <c r="K11" i="41"/>
  <c r="K8" i="40" s="1"/>
  <c r="G11" i="41"/>
  <c r="G8" i="40" s="1"/>
  <c r="F11" i="41"/>
  <c r="F8" i="40" s="1"/>
  <c r="C11" i="41"/>
  <c r="C8" i="40" s="1"/>
  <c r="I7" i="41"/>
  <c r="I4" i="40" s="1"/>
  <c r="G7" i="41"/>
  <c r="G4" i="40" s="1"/>
  <c r="H7" i="41"/>
  <c r="H4" i="40" s="1"/>
  <c r="N7" i="41"/>
  <c r="N4" i="40" s="1"/>
  <c r="M7" i="41"/>
  <c r="M4" i="40" s="1"/>
  <c r="L7" i="41"/>
  <c r="L4" i="40" s="1"/>
  <c r="K7" i="41"/>
  <c r="K4" i="40" s="1"/>
  <c r="E7" i="41"/>
  <c r="E4" i="40" s="1"/>
  <c r="D7" i="41"/>
  <c r="D4" i="40" s="1"/>
  <c r="J7" i="41"/>
  <c r="J4" i="40" s="1"/>
  <c r="F7" i="41"/>
  <c r="F4" i="40" s="1"/>
  <c r="C7" i="41"/>
  <c r="C4" i="40" s="1"/>
  <c r="H18" i="73"/>
  <c r="E29" i="73"/>
  <c r="F23" i="73" s="1"/>
  <c r="G23" i="73" s="1"/>
  <c r="H25" i="73"/>
  <c r="H24" i="73"/>
  <c r="H21" i="73"/>
  <c r="H14" i="73"/>
  <c r="H22" i="73"/>
  <c r="H20" i="73"/>
  <c r="L8" i="5"/>
  <c r="L22" i="5"/>
  <c r="L27" i="5"/>
  <c r="L23" i="5"/>
  <c r="L15" i="5"/>
  <c r="L26" i="5"/>
  <c r="B10" i="48"/>
  <c r="H10" i="48" s="1"/>
  <c r="R10" i="5"/>
  <c r="S10" i="5" s="1"/>
  <c r="U11" i="3" s="1"/>
  <c r="G58" i="5"/>
  <c r="H58" i="5" s="1"/>
  <c r="R21" i="5"/>
  <c r="S21" i="5" s="1"/>
  <c r="U22" i="3" s="1"/>
  <c r="B26" i="48"/>
  <c r="M26" i="48" s="1"/>
  <c r="G42" i="5"/>
  <c r="H42" i="5" s="1"/>
  <c r="B9" i="48"/>
  <c r="H9" i="48" s="1"/>
  <c r="AG27" i="5"/>
  <c r="AH27" i="5" s="1"/>
  <c r="R27" i="5"/>
  <c r="S27" i="5" s="1"/>
  <c r="U28" i="3" s="1"/>
  <c r="AG10" i="5"/>
  <c r="AH10" i="5" s="1"/>
  <c r="AG11" i="5"/>
  <c r="AH11" i="5" s="1"/>
  <c r="B20" i="48"/>
  <c r="H20" i="48" s="1"/>
  <c r="G41" i="5"/>
  <c r="I41" i="5" s="1"/>
  <c r="B7" i="48"/>
  <c r="L7" i="48" s="1"/>
  <c r="B37" i="48"/>
  <c r="B38" i="48" s="1"/>
  <c r="B23" i="48"/>
  <c r="M23" i="48" s="1"/>
  <c r="AG15" i="5"/>
  <c r="AH15" i="5" s="1"/>
  <c r="G47" i="5"/>
  <c r="H47" i="5" s="1"/>
  <c r="B13" i="48"/>
  <c r="K13" i="48" s="1"/>
  <c r="B24" i="48"/>
  <c r="G24" i="48" s="1"/>
  <c r="R14" i="5"/>
  <c r="S14" i="5" s="1"/>
  <c r="U15" i="3" s="1"/>
  <c r="AG14" i="5"/>
  <c r="AH14" i="5" s="1"/>
  <c r="AG25" i="5"/>
  <c r="AH25" i="5" s="1"/>
  <c r="R15" i="5"/>
  <c r="S15" i="5" s="1"/>
  <c r="U16" i="3" s="1"/>
  <c r="R25" i="5"/>
  <c r="S25" i="5" s="1"/>
  <c r="U26" i="3" s="1"/>
  <c r="G45" i="5"/>
  <c r="H45" i="5" s="1"/>
  <c r="AG16" i="5"/>
  <c r="AH16" i="5" s="1"/>
  <c r="R16" i="5"/>
  <c r="S16" i="5" s="1"/>
  <c r="U17" i="3" s="1"/>
  <c r="B15" i="48"/>
  <c r="H15" i="48" s="1"/>
  <c r="B14" i="48"/>
  <c r="K14" i="48" s="1"/>
  <c r="AG9" i="5"/>
  <c r="AH9" i="5" s="1"/>
  <c r="R13" i="5"/>
  <c r="S13" i="5" s="1"/>
  <c r="U14" i="3" s="1"/>
  <c r="B18" i="48"/>
  <c r="L18" i="48" s="1"/>
  <c r="R18" i="5"/>
  <c r="S18" i="5" s="1"/>
  <c r="U19" i="3" s="1"/>
  <c r="R9" i="5"/>
  <c r="S9" i="5" s="1"/>
  <c r="U10" i="3" s="1"/>
  <c r="B17" i="48"/>
  <c r="F17" i="48" s="1"/>
  <c r="F14" i="57" s="1"/>
  <c r="R26" i="5"/>
  <c r="S26" i="5" s="1"/>
  <c r="U27" i="3" s="1"/>
  <c r="B25" i="48"/>
  <c r="G25" i="48" s="1"/>
  <c r="AG20" i="5"/>
  <c r="AH20" i="5" s="1"/>
  <c r="R20" i="5"/>
  <c r="S20" i="5" s="1"/>
  <c r="U21" i="3" s="1"/>
  <c r="L18" i="5"/>
  <c r="AG18" i="5"/>
  <c r="AH18" i="5" s="1"/>
  <c r="R19" i="5"/>
  <c r="S19" i="5" s="1"/>
  <c r="U20" i="3" s="1"/>
  <c r="AG26" i="5"/>
  <c r="AH26" i="5" s="1"/>
  <c r="B8" i="48"/>
  <c r="M8" i="48" s="1"/>
  <c r="L20" i="5"/>
  <c r="I11" i="48"/>
  <c r="I8" i="46" s="1"/>
  <c r="M11" i="48"/>
  <c r="M8" i="57" s="1"/>
  <c r="E11" i="48"/>
  <c r="E8" i="46" s="1"/>
  <c r="R22" i="5"/>
  <c r="S22" i="5" s="1"/>
  <c r="U23" i="3" s="1"/>
  <c r="N11" i="48"/>
  <c r="N8" i="57" s="1"/>
  <c r="H11" i="48"/>
  <c r="H8" i="46" s="1"/>
  <c r="AG22" i="5"/>
  <c r="AH22" i="5" s="1"/>
  <c r="G11" i="48"/>
  <c r="G8" i="46" s="1"/>
  <c r="C11" i="48"/>
  <c r="C8" i="57" s="1"/>
  <c r="L11" i="48"/>
  <c r="L8" i="46" s="1"/>
  <c r="F11" i="48"/>
  <c r="F8" i="57" s="1"/>
  <c r="D11" i="48"/>
  <c r="D8" i="57" s="1"/>
  <c r="J11" i="48"/>
  <c r="J8" i="46" s="1"/>
  <c r="B19" i="48"/>
  <c r="L19" i="48" s="1"/>
  <c r="R17" i="5"/>
  <c r="S17" i="5" s="1"/>
  <c r="U18" i="3" s="1"/>
  <c r="G48" i="5"/>
  <c r="H48" i="5" s="1"/>
  <c r="B22" i="48"/>
  <c r="L22" i="48" s="1"/>
  <c r="L19" i="57" s="1"/>
  <c r="B21" i="48"/>
  <c r="H21" i="48" s="1"/>
  <c r="R23" i="5"/>
  <c r="S23" i="5" s="1"/>
  <c r="U24" i="3" s="1"/>
  <c r="G53" i="5"/>
  <c r="H53" i="5" s="1"/>
  <c r="G54" i="5"/>
  <c r="H54" i="5" s="1"/>
  <c r="AG13" i="5"/>
  <c r="AH13" i="5" s="1"/>
  <c r="AG23" i="5"/>
  <c r="AH23" i="5" s="1"/>
  <c r="G50" i="5"/>
  <c r="H50" i="5" s="1"/>
  <c r="B12" i="48"/>
  <c r="J12" i="48" s="1"/>
  <c r="J9" i="57" s="1"/>
  <c r="AG19" i="5"/>
  <c r="AH19" i="5" s="1"/>
  <c r="AG17" i="5"/>
  <c r="AH17" i="5" s="1"/>
  <c r="B16" i="48"/>
  <c r="H16" i="48" s="1"/>
  <c r="L10" i="5"/>
  <c r="G57" i="5"/>
  <c r="I57" i="5" s="1"/>
  <c r="O12" i="41"/>
  <c r="O9" i="40"/>
  <c r="B27" i="41"/>
  <c r="L14" i="5"/>
  <c r="L21" i="5"/>
  <c r="L19" i="5"/>
  <c r="G49" i="5"/>
  <c r="H49" i="5" s="1"/>
  <c r="L16" i="5"/>
  <c r="K8" i="65"/>
  <c r="J25" i="65"/>
  <c r="K25" i="65" s="1"/>
  <c r="J27" i="65"/>
  <c r="K27" i="65" s="1"/>
  <c r="J19" i="65"/>
  <c r="K19" i="65" s="1"/>
  <c r="J11" i="65"/>
  <c r="K11" i="65" s="1"/>
  <c r="J22" i="65"/>
  <c r="K22" i="65" s="1"/>
  <c r="J14" i="65"/>
  <c r="K14" i="65" s="1"/>
  <c r="J21" i="65"/>
  <c r="K21" i="65" s="1"/>
  <c r="J13" i="65"/>
  <c r="K13" i="65" s="1"/>
  <c r="J24" i="65"/>
  <c r="K24" i="65" s="1"/>
  <c r="J16" i="65"/>
  <c r="K16" i="65" s="1"/>
  <c r="J23" i="65"/>
  <c r="K23" i="65" s="1"/>
  <c r="J15" i="65"/>
  <c r="K15" i="65" s="1"/>
  <c r="J26" i="65"/>
  <c r="K26" i="65" s="1"/>
  <c r="J18" i="65"/>
  <c r="K18" i="65" s="1"/>
  <c r="J10" i="65"/>
  <c r="K10" i="65" s="1"/>
  <c r="J17" i="65"/>
  <c r="K17" i="65" s="1"/>
  <c r="J9" i="65"/>
  <c r="K9" i="65" s="1"/>
  <c r="J20" i="65"/>
  <c r="K20" i="65" s="1"/>
  <c r="J12" i="65"/>
  <c r="K12" i="65" s="1"/>
  <c r="L24" i="5"/>
  <c r="G56" i="5"/>
  <c r="H56" i="5" s="1"/>
  <c r="G51" i="5"/>
  <c r="H51" i="5" s="1"/>
  <c r="L17" i="5"/>
  <c r="L11" i="5"/>
  <c r="K28" i="5"/>
  <c r="O19" i="5" s="1"/>
  <c r="I27" i="47"/>
  <c r="J27" i="47"/>
  <c r="F27" i="47"/>
  <c r="C27" i="47"/>
  <c r="O12" i="47"/>
  <c r="M8" i="46"/>
  <c r="E18" i="48"/>
  <c r="G13" i="48"/>
  <c r="L20" i="48"/>
  <c r="K20" i="48"/>
  <c r="F20" i="48"/>
  <c r="C20" i="48"/>
  <c r="M20" i="48"/>
  <c r="J20" i="48"/>
  <c r="N20" i="48"/>
  <c r="D20" i="48"/>
  <c r="I20" i="48"/>
  <c r="H27" i="47"/>
  <c r="D27" i="47"/>
  <c r="G27" i="47"/>
  <c r="L23" i="48"/>
  <c r="K23" i="48"/>
  <c r="C23" i="48"/>
  <c r="H23" i="48"/>
  <c r="E23" i="48"/>
  <c r="G23" i="48"/>
  <c r="F23" i="48"/>
  <c r="D23" i="48"/>
  <c r="N23" i="48"/>
  <c r="E27" i="47"/>
  <c r="K27" i="47"/>
  <c r="E10" i="48"/>
  <c r="N10" i="48"/>
  <c r="O22" i="47"/>
  <c r="N27" i="47"/>
  <c r="L27" i="47"/>
  <c r="M27" i="47"/>
  <c r="H26" i="48"/>
  <c r="N26" i="48"/>
  <c r="K8" i="46"/>
  <c r="K8" i="57"/>
  <c r="O17" i="47"/>
  <c r="O21" i="41"/>
  <c r="H28" i="5"/>
  <c r="L25" i="5"/>
  <c r="G20" i="4"/>
  <c r="G15" i="4"/>
  <c r="G17" i="4"/>
  <c r="G12" i="4"/>
  <c r="G14" i="4"/>
  <c r="C27" i="13"/>
  <c r="G22" i="4"/>
  <c r="L20" i="4"/>
  <c r="G27" i="4"/>
  <c r="G18" i="4"/>
  <c r="G26" i="4"/>
  <c r="G9" i="4"/>
  <c r="G24" i="4"/>
  <c r="F28" i="4"/>
  <c r="G19" i="4"/>
  <c r="G16" i="4"/>
  <c r="G8" i="4"/>
  <c r="G13" i="4"/>
  <c r="G43" i="5"/>
  <c r="H43" i="5" s="1"/>
  <c r="L12" i="5"/>
  <c r="Z12" i="5"/>
  <c r="U12" i="5"/>
  <c r="P17" i="5"/>
  <c r="U24" i="5"/>
  <c r="Z24" i="5"/>
  <c r="U11" i="5"/>
  <c r="K8" i="4"/>
  <c r="K14" i="4"/>
  <c r="K18" i="4"/>
  <c r="K16" i="4"/>
  <c r="K22" i="4"/>
  <c r="K11" i="4"/>
  <c r="K19" i="4"/>
  <c r="K17" i="4"/>
  <c r="K27" i="4"/>
  <c r="K23" i="4"/>
  <c r="K13" i="4"/>
  <c r="K24" i="4"/>
  <c r="K25" i="4"/>
  <c r="K12" i="4"/>
  <c r="K21" i="4"/>
  <c r="K9" i="4"/>
  <c r="K26" i="4"/>
  <c r="K10" i="4"/>
  <c r="K15" i="4"/>
  <c r="H28" i="8"/>
  <c r="I28" i="8" s="1"/>
  <c r="F28" i="8"/>
  <c r="Z11" i="5"/>
  <c r="S8" i="5"/>
  <c r="U9" i="3" s="1"/>
  <c r="H46" i="5"/>
  <c r="I46" i="5"/>
  <c r="U27" i="5"/>
  <c r="P25" i="5"/>
  <c r="P24" i="5"/>
  <c r="P22" i="5"/>
  <c r="P20" i="5"/>
  <c r="P16" i="5"/>
  <c r="P15" i="5"/>
  <c r="P27" i="5"/>
  <c r="P9" i="5"/>
  <c r="P8" i="5"/>
  <c r="P10" i="5"/>
  <c r="P11" i="5"/>
  <c r="H39" i="5"/>
  <c r="I39" i="5"/>
  <c r="H52" i="5"/>
  <c r="I52" i="5"/>
  <c r="L13" i="5"/>
  <c r="G44" i="5"/>
  <c r="G40" i="5"/>
  <c r="L9" i="5"/>
  <c r="O17" i="41" l="1"/>
  <c r="O17" i="40"/>
  <c r="I55" i="5"/>
  <c r="O13" i="41"/>
  <c r="H7" i="48"/>
  <c r="D27" i="13"/>
  <c r="O14" i="40"/>
  <c r="O18" i="40"/>
  <c r="O11" i="40"/>
  <c r="O16" i="40"/>
  <c r="O20" i="41"/>
  <c r="I58" i="5"/>
  <c r="J58" i="5" s="1"/>
  <c r="N9" i="48"/>
  <c r="L13" i="48"/>
  <c r="L10" i="57" s="1"/>
  <c r="M9" i="48"/>
  <c r="L9" i="48"/>
  <c r="L6" i="57" s="1"/>
  <c r="F13" i="48"/>
  <c r="B21" i="35"/>
  <c r="I23" i="73"/>
  <c r="J23" i="73" s="1"/>
  <c r="AA23" i="3" s="1"/>
  <c r="Z23" i="3"/>
  <c r="B18" i="58"/>
  <c r="F13" i="73"/>
  <c r="G13" i="73" s="1"/>
  <c r="F22" i="73"/>
  <c r="G22" i="73" s="1"/>
  <c r="H41" i="5"/>
  <c r="J41" i="5" s="1"/>
  <c r="O9" i="41"/>
  <c r="G26" i="48"/>
  <c r="G23" i="57" s="1"/>
  <c r="L26" i="48"/>
  <c r="I10" i="48"/>
  <c r="I7" i="57" s="1"/>
  <c r="M10" i="48"/>
  <c r="F15" i="48"/>
  <c r="F12" i="46" s="1"/>
  <c r="F14" i="73"/>
  <c r="G14" i="73" s="1"/>
  <c r="F18" i="73"/>
  <c r="G18" i="73" s="1"/>
  <c r="F25" i="73"/>
  <c r="G25" i="73" s="1"/>
  <c r="F16" i="73"/>
  <c r="G16" i="73" s="1"/>
  <c r="F28" i="73"/>
  <c r="G28" i="73" s="1"/>
  <c r="F15" i="73"/>
  <c r="G15" i="73" s="1"/>
  <c r="Z14" i="5"/>
  <c r="O16" i="41"/>
  <c r="F26" i="48"/>
  <c r="O10" i="41"/>
  <c r="O26" i="41"/>
  <c r="G10" i="48"/>
  <c r="G7" i="46" s="1"/>
  <c r="O24" i="41"/>
  <c r="F26" i="73"/>
  <c r="G26" i="73" s="1"/>
  <c r="F12" i="73"/>
  <c r="G12" i="73" s="1"/>
  <c r="F21" i="73"/>
  <c r="G21" i="73" s="1"/>
  <c r="F17" i="73"/>
  <c r="G17" i="73" s="1"/>
  <c r="F27" i="73"/>
  <c r="G27" i="73" s="1"/>
  <c r="F10" i="73"/>
  <c r="G10" i="73" s="1"/>
  <c r="F11" i="73"/>
  <c r="G11" i="73" s="1"/>
  <c r="Z27" i="5"/>
  <c r="O14" i="41"/>
  <c r="O19" i="41"/>
  <c r="K26" i="48"/>
  <c r="K23" i="46" s="1"/>
  <c r="C10" i="48"/>
  <c r="F9" i="73"/>
  <c r="H29" i="73"/>
  <c r="B7" i="35"/>
  <c r="C27" i="14"/>
  <c r="D7" i="14"/>
  <c r="D27" i="14" s="1"/>
  <c r="F20" i="73"/>
  <c r="G20" i="73" s="1"/>
  <c r="F24" i="73"/>
  <c r="G24" i="73" s="1"/>
  <c r="F19" i="73"/>
  <c r="G19" i="73" s="1"/>
  <c r="U10" i="5"/>
  <c r="F7" i="48"/>
  <c r="E7" i="48"/>
  <c r="E4" i="57" s="1"/>
  <c r="D9" i="48"/>
  <c r="D6" i="57" s="1"/>
  <c r="F9" i="48"/>
  <c r="F6" i="46" s="1"/>
  <c r="E9" i="48"/>
  <c r="D13" i="48"/>
  <c r="D10" i="57" s="1"/>
  <c r="E13" i="48"/>
  <c r="E10" i="57" s="1"/>
  <c r="H13" i="48"/>
  <c r="H10" i="46" s="1"/>
  <c r="G9" i="48"/>
  <c r="C9" i="48"/>
  <c r="C6" i="46" s="1"/>
  <c r="J9" i="48"/>
  <c r="J6" i="57" s="1"/>
  <c r="I13" i="48"/>
  <c r="I10" i="57" s="1"/>
  <c r="J13" i="48"/>
  <c r="C13" i="48"/>
  <c r="Z19" i="5"/>
  <c r="I9" i="48"/>
  <c r="I6" i="57" s="1"/>
  <c r="K9" i="48"/>
  <c r="N8" i="46"/>
  <c r="N13" i="48"/>
  <c r="N10" i="46" s="1"/>
  <c r="M13" i="48"/>
  <c r="M10" i="57" s="1"/>
  <c r="I7" i="48"/>
  <c r="I4" i="46" s="1"/>
  <c r="G7" i="48"/>
  <c r="G4" i="46" s="1"/>
  <c r="M7" i="48"/>
  <c r="M4" i="46" s="1"/>
  <c r="I42" i="5"/>
  <c r="I47" i="5"/>
  <c r="U14" i="5"/>
  <c r="I26" i="48"/>
  <c r="I23" i="46" s="1"/>
  <c r="C26" i="48"/>
  <c r="C23" i="46" s="1"/>
  <c r="J26" i="48"/>
  <c r="D10" i="48"/>
  <c r="K10" i="48"/>
  <c r="K7" i="46" s="1"/>
  <c r="L10" i="48"/>
  <c r="L7" i="46" s="1"/>
  <c r="D14" i="48"/>
  <c r="D11" i="46" s="1"/>
  <c r="K15" i="48"/>
  <c r="K12" i="46" s="1"/>
  <c r="N7" i="48"/>
  <c r="N4" i="57" s="1"/>
  <c r="C7" i="48"/>
  <c r="C4" i="46" s="1"/>
  <c r="K7" i="48"/>
  <c r="Z10" i="5"/>
  <c r="Z21" i="5"/>
  <c r="U21" i="5"/>
  <c r="D26" i="48"/>
  <c r="D23" i="57" s="1"/>
  <c r="E26" i="48"/>
  <c r="E23" i="57" s="1"/>
  <c r="F10" i="48"/>
  <c r="F7" i="57" s="1"/>
  <c r="J10" i="48"/>
  <c r="J7" i="57" s="1"/>
  <c r="I23" i="48"/>
  <c r="J23" i="48"/>
  <c r="J20" i="57" s="1"/>
  <c r="J14" i="48"/>
  <c r="J11" i="46" s="1"/>
  <c r="L15" i="48"/>
  <c r="L12" i="46" s="1"/>
  <c r="D7" i="48"/>
  <c r="J7" i="48"/>
  <c r="J4" i="46" s="1"/>
  <c r="G20" i="48"/>
  <c r="E20" i="48"/>
  <c r="E17" i="46" s="1"/>
  <c r="G17" i="48"/>
  <c r="G14" i="57" s="1"/>
  <c r="E24" i="48"/>
  <c r="E21" i="46" s="1"/>
  <c r="U20" i="5"/>
  <c r="F19" i="48"/>
  <c r="F16" i="46" s="1"/>
  <c r="M17" i="48"/>
  <c r="M14" i="57" s="1"/>
  <c r="N24" i="48"/>
  <c r="N21" i="46" s="1"/>
  <c r="C24" i="48"/>
  <c r="C21" i="46" s="1"/>
  <c r="U16" i="5"/>
  <c r="D17" i="48"/>
  <c r="D14" i="46" s="1"/>
  <c r="C17" i="48"/>
  <c r="C14" i="46" s="1"/>
  <c r="F24" i="48"/>
  <c r="F21" i="57" s="1"/>
  <c r="H24" i="48"/>
  <c r="H21" i="46" s="1"/>
  <c r="Z13" i="5"/>
  <c r="U15" i="5"/>
  <c r="N17" i="48"/>
  <c r="N14" i="57" s="1"/>
  <c r="H17" i="48"/>
  <c r="H14" i="46" s="1"/>
  <c r="J24" i="48"/>
  <c r="J21" i="57" s="1"/>
  <c r="U13" i="5"/>
  <c r="Z16" i="5"/>
  <c r="Z15" i="5"/>
  <c r="H8" i="57"/>
  <c r="K17" i="48"/>
  <c r="K14" i="57" s="1"/>
  <c r="E17" i="48"/>
  <c r="E14" i="57" s="1"/>
  <c r="L17" i="48"/>
  <c r="L14" i="46" s="1"/>
  <c r="I24" i="48"/>
  <c r="I21" i="46" s="1"/>
  <c r="M24" i="48"/>
  <c r="M21" i="57" s="1"/>
  <c r="L24" i="48"/>
  <c r="L21" i="46" s="1"/>
  <c r="H19" i="48"/>
  <c r="H16" i="46" s="1"/>
  <c r="F14" i="48"/>
  <c r="F11" i="46" s="1"/>
  <c r="I17" i="48"/>
  <c r="I14" i="46" s="1"/>
  <c r="J17" i="48"/>
  <c r="J14" i="57" s="1"/>
  <c r="D24" i="48"/>
  <c r="D21" i="46" s="1"/>
  <c r="K24" i="48"/>
  <c r="K21" i="46" s="1"/>
  <c r="I45" i="5"/>
  <c r="J45" i="5" s="1"/>
  <c r="N14" i="48"/>
  <c r="N11" i="46" s="1"/>
  <c r="G14" i="48"/>
  <c r="G11" i="57" s="1"/>
  <c r="H14" i="48"/>
  <c r="H11" i="57" s="1"/>
  <c r="M14" i="48"/>
  <c r="M11" i="46" s="1"/>
  <c r="C14" i="48"/>
  <c r="C11" i="57" s="1"/>
  <c r="L14" i="48"/>
  <c r="L11" i="46" s="1"/>
  <c r="H25" i="48"/>
  <c r="H22" i="46" s="1"/>
  <c r="I14" i="48"/>
  <c r="I11" i="57" s="1"/>
  <c r="E14" i="48"/>
  <c r="E11" i="57" s="1"/>
  <c r="U25" i="5"/>
  <c r="N15" i="48"/>
  <c r="N12" i="57" s="1"/>
  <c r="G15" i="48"/>
  <c r="G12" i="46" s="1"/>
  <c r="J15" i="48"/>
  <c r="J12" i="57" s="1"/>
  <c r="K18" i="48"/>
  <c r="K15" i="46" s="1"/>
  <c r="I15" i="48"/>
  <c r="I12" i="46" s="1"/>
  <c r="C15" i="48"/>
  <c r="C12" i="57" s="1"/>
  <c r="M15" i="48"/>
  <c r="M12" i="57" s="1"/>
  <c r="I18" i="48"/>
  <c r="I15" i="57" s="1"/>
  <c r="J18" i="48"/>
  <c r="J15" i="57" s="1"/>
  <c r="U26" i="5"/>
  <c r="D15" i="48"/>
  <c r="D12" i="57" s="1"/>
  <c r="E15" i="48"/>
  <c r="E12" i="57" s="1"/>
  <c r="D18" i="48"/>
  <c r="D15" i="46" s="1"/>
  <c r="H18" i="48"/>
  <c r="H15" i="57" s="1"/>
  <c r="Z25" i="5"/>
  <c r="Z18" i="5"/>
  <c r="N25" i="48"/>
  <c r="N22" i="46" s="1"/>
  <c r="E25" i="48"/>
  <c r="E22" i="46" s="1"/>
  <c r="J25" i="48"/>
  <c r="J22" i="46" s="1"/>
  <c r="N18" i="48"/>
  <c r="N15" i="57" s="1"/>
  <c r="C18" i="48"/>
  <c r="C15" i="57" s="1"/>
  <c r="M18" i="48"/>
  <c r="M15" i="46" s="1"/>
  <c r="C25" i="48"/>
  <c r="C22" i="57" s="1"/>
  <c r="Z26" i="5"/>
  <c r="L25" i="48"/>
  <c r="L22" i="46" s="1"/>
  <c r="G18" i="48"/>
  <c r="G15" i="46" s="1"/>
  <c r="F18" i="48"/>
  <c r="I22" i="48"/>
  <c r="I19" i="46" s="1"/>
  <c r="C8" i="46"/>
  <c r="N12" i="48"/>
  <c r="N9" i="46" s="1"/>
  <c r="U9" i="5"/>
  <c r="U18" i="5"/>
  <c r="D25" i="48"/>
  <c r="D22" i="46" s="1"/>
  <c r="F25" i="48"/>
  <c r="F22" i="46" s="1"/>
  <c r="K25" i="48"/>
  <c r="K22" i="46" s="1"/>
  <c r="Z9" i="5"/>
  <c r="I25" i="48"/>
  <c r="I22" i="57" s="1"/>
  <c r="M25" i="48"/>
  <c r="M22" i="57" s="1"/>
  <c r="J8" i="57"/>
  <c r="N22" i="48"/>
  <c r="N19" i="46" s="1"/>
  <c r="F8" i="46"/>
  <c r="Z23" i="5"/>
  <c r="E8" i="57"/>
  <c r="J8" i="48"/>
  <c r="J5" i="46" s="1"/>
  <c r="G8" i="48"/>
  <c r="G5" i="57" s="1"/>
  <c r="I8" i="48"/>
  <c r="I5" i="57" s="1"/>
  <c r="E8" i="48"/>
  <c r="E5" i="57" s="1"/>
  <c r="D8" i="48"/>
  <c r="D5" i="57" s="1"/>
  <c r="H8" i="48"/>
  <c r="H5" i="46" s="1"/>
  <c r="F8" i="48"/>
  <c r="F5" i="57" s="1"/>
  <c r="C8" i="48"/>
  <c r="C5" i="57" s="1"/>
  <c r="L8" i="48"/>
  <c r="L5" i="57" s="1"/>
  <c r="N8" i="48"/>
  <c r="K8" i="48"/>
  <c r="K5" i="46" s="1"/>
  <c r="U22" i="5"/>
  <c r="D16" i="48"/>
  <c r="D13" i="57" s="1"/>
  <c r="G8" i="57"/>
  <c r="Z20" i="5"/>
  <c r="G19" i="48"/>
  <c r="G16" i="57" s="1"/>
  <c r="U19" i="5"/>
  <c r="C22" i="48"/>
  <c r="C19" i="57" s="1"/>
  <c r="K19" i="48"/>
  <c r="K16" i="46" s="1"/>
  <c r="L8" i="57"/>
  <c r="K12" i="48"/>
  <c r="K9" i="57" s="1"/>
  <c r="I8" i="57"/>
  <c r="E22" i="48"/>
  <c r="E19" i="57" s="1"/>
  <c r="D19" i="48"/>
  <c r="D16" i="57" s="1"/>
  <c r="M19" i="48"/>
  <c r="M16" i="46" s="1"/>
  <c r="M12" i="48"/>
  <c r="M9" i="46" s="1"/>
  <c r="I48" i="5"/>
  <c r="J48" i="5" s="1"/>
  <c r="E16" i="48"/>
  <c r="E13" i="57" s="1"/>
  <c r="I50" i="5"/>
  <c r="J50" i="5" s="1"/>
  <c r="I53" i="5"/>
  <c r="J53" i="5" s="1"/>
  <c r="D8" i="46"/>
  <c r="Z22" i="5"/>
  <c r="R28" i="5"/>
  <c r="S28" i="5" s="1"/>
  <c r="I19" i="48"/>
  <c r="I16" i="46" s="1"/>
  <c r="C19" i="48"/>
  <c r="C16" i="57" s="1"/>
  <c r="J19" i="48"/>
  <c r="J16" i="46" s="1"/>
  <c r="O11" i="48"/>
  <c r="Z17" i="5"/>
  <c r="U23" i="5"/>
  <c r="N19" i="48"/>
  <c r="N16" i="46" s="1"/>
  <c r="E19" i="48"/>
  <c r="E16" i="57" s="1"/>
  <c r="J22" i="48"/>
  <c r="J19" i="57" s="1"/>
  <c r="F12" i="48"/>
  <c r="F9" i="57" s="1"/>
  <c r="E12" i="48"/>
  <c r="E9" i="57" s="1"/>
  <c r="M22" i="48"/>
  <c r="M19" i="46" s="1"/>
  <c r="C12" i="48"/>
  <c r="C9" i="57" s="1"/>
  <c r="I54" i="5"/>
  <c r="J54" i="5" s="1"/>
  <c r="D22" i="48"/>
  <c r="D19" i="57" s="1"/>
  <c r="F22" i="48"/>
  <c r="F19" i="57" s="1"/>
  <c r="H22" i="48"/>
  <c r="H19" i="46" s="1"/>
  <c r="D12" i="48"/>
  <c r="D9" i="57" s="1"/>
  <c r="H12" i="48"/>
  <c r="H9" i="46" s="1"/>
  <c r="L12" i="48"/>
  <c r="L9" i="46" s="1"/>
  <c r="K22" i="48"/>
  <c r="K19" i="57" s="1"/>
  <c r="G22" i="48"/>
  <c r="G19" i="57" s="1"/>
  <c r="I12" i="48"/>
  <c r="I9" i="57" s="1"/>
  <c r="G12" i="48"/>
  <c r="G9" i="46" s="1"/>
  <c r="H57" i="5"/>
  <c r="J57" i="5" s="1"/>
  <c r="D21" i="48"/>
  <c r="D18" i="46" s="1"/>
  <c r="K21" i="48"/>
  <c r="K18" i="57" s="1"/>
  <c r="J21" i="48"/>
  <c r="J18" i="46" s="1"/>
  <c r="I21" i="48"/>
  <c r="I18" i="57" s="1"/>
  <c r="M21" i="48"/>
  <c r="M18" i="46" s="1"/>
  <c r="G21" i="48"/>
  <c r="G18" i="46" s="1"/>
  <c r="L21" i="48"/>
  <c r="L18" i="46" s="1"/>
  <c r="B27" i="48"/>
  <c r="N21" i="48"/>
  <c r="N18" i="46" s="1"/>
  <c r="C21" i="48"/>
  <c r="C18" i="57" s="1"/>
  <c r="F21" i="48"/>
  <c r="F18" i="46" s="1"/>
  <c r="E21" i="48"/>
  <c r="E18" i="57" s="1"/>
  <c r="F16" i="48"/>
  <c r="F13" i="57" s="1"/>
  <c r="C16" i="48"/>
  <c r="C13" i="57" s="1"/>
  <c r="L16" i="48"/>
  <c r="L13" i="57" s="1"/>
  <c r="I16" i="48"/>
  <c r="I13" i="57" s="1"/>
  <c r="G16" i="48"/>
  <c r="G13" i="57" s="1"/>
  <c r="M16" i="48"/>
  <c r="M13" i="46" s="1"/>
  <c r="N16" i="48"/>
  <c r="J16" i="48"/>
  <c r="J13" i="46" s="1"/>
  <c r="K16" i="48"/>
  <c r="K13" i="46" s="1"/>
  <c r="M20" i="4"/>
  <c r="N20" i="4" s="1"/>
  <c r="E19" i="13"/>
  <c r="F19" i="13" s="1"/>
  <c r="E19" i="14"/>
  <c r="F19" i="14" s="1"/>
  <c r="J24" i="40"/>
  <c r="O22" i="40"/>
  <c r="G24" i="40"/>
  <c r="O8" i="40"/>
  <c r="O7" i="41"/>
  <c r="O25" i="41"/>
  <c r="O22" i="41"/>
  <c r="K24" i="40"/>
  <c r="O11" i="41"/>
  <c r="D24" i="40"/>
  <c r="H24" i="40"/>
  <c r="O23" i="41"/>
  <c r="O19" i="40"/>
  <c r="N24" i="40"/>
  <c r="F24" i="40"/>
  <c r="I24" i="40"/>
  <c r="O15" i="41"/>
  <c r="O8" i="41"/>
  <c r="O18" i="41"/>
  <c r="O12" i="40"/>
  <c r="O5" i="40"/>
  <c r="O15" i="40"/>
  <c r="M24" i="40"/>
  <c r="O20" i="40"/>
  <c r="L24" i="40"/>
  <c r="E24" i="40"/>
  <c r="I49" i="5"/>
  <c r="J49" i="5" s="1"/>
  <c r="I51" i="5"/>
  <c r="J51" i="5" s="1"/>
  <c r="O18" i="5"/>
  <c r="Q18" i="5" s="1"/>
  <c r="W19" i="3" s="1"/>
  <c r="O21" i="5"/>
  <c r="P21" i="5" s="1"/>
  <c r="N20" i="65"/>
  <c r="O20" i="65" s="1"/>
  <c r="L20" i="65"/>
  <c r="M20" i="65" s="1"/>
  <c r="N18" i="65"/>
  <c r="O18" i="65" s="1"/>
  <c r="L18" i="65"/>
  <c r="M18" i="65" s="1"/>
  <c r="N16" i="65"/>
  <c r="O16" i="65" s="1"/>
  <c r="L16" i="65"/>
  <c r="M16" i="65" s="1"/>
  <c r="L14" i="65"/>
  <c r="M14" i="65" s="1"/>
  <c r="N14" i="65"/>
  <c r="O14" i="65" s="1"/>
  <c r="N27" i="65"/>
  <c r="O27" i="65" s="1"/>
  <c r="L27" i="65"/>
  <c r="M27" i="65" s="1"/>
  <c r="L9" i="65"/>
  <c r="M9" i="65" s="1"/>
  <c r="N9" i="65"/>
  <c r="O9" i="65" s="1"/>
  <c r="N26" i="65"/>
  <c r="O26" i="65" s="1"/>
  <c r="L26" i="65"/>
  <c r="M26" i="65" s="1"/>
  <c r="N24" i="65"/>
  <c r="O24" i="65" s="1"/>
  <c r="L24" i="65"/>
  <c r="M24" i="65" s="1"/>
  <c r="N22" i="65"/>
  <c r="O22" i="65" s="1"/>
  <c r="L22" i="65"/>
  <c r="M22" i="65" s="1"/>
  <c r="N25" i="65"/>
  <c r="O25" i="65" s="1"/>
  <c r="L25" i="65"/>
  <c r="M25" i="65" s="1"/>
  <c r="L17" i="65"/>
  <c r="M17" i="65" s="1"/>
  <c r="N17" i="65"/>
  <c r="O17" i="65" s="1"/>
  <c r="L15" i="65"/>
  <c r="M15" i="65" s="1"/>
  <c r="N15" i="65"/>
  <c r="O15" i="65" s="1"/>
  <c r="N13" i="65"/>
  <c r="O13" i="65" s="1"/>
  <c r="L13" i="65"/>
  <c r="M13" i="65" s="1"/>
  <c r="L11" i="65"/>
  <c r="M11" i="65" s="1"/>
  <c r="N11" i="65"/>
  <c r="O11" i="65" s="1"/>
  <c r="L8" i="65"/>
  <c r="K28" i="65"/>
  <c r="N8" i="65"/>
  <c r="L12" i="65"/>
  <c r="M12" i="65" s="1"/>
  <c r="N12" i="65"/>
  <c r="O12" i="65" s="1"/>
  <c r="L10" i="65"/>
  <c r="M10" i="65" s="1"/>
  <c r="N10" i="65"/>
  <c r="O10" i="65" s="1"/>
  <c r="N23" i="65"/>
  <c r="O23" i="65" s="1"/>
  <c r="L23" i="65"/>
  <c r="M23" i="65" s="1"/>
  <c r="L21" i="65"/>
  <c r="M21" i="65" s="1"/>
  <c r="N21" i="65"/>
  <c r="O21" i="65" s="1"/>
  <c r="N19" i="65"/>
  <c r="O19" i="65" s="1"/>
  <c r="L19" i="65"/>
  <c r="M19" i="65" s="1"/>
  <c r="J28" i="65"/>
  <c r="I56" i="5"/>
  <c r="J56" i="5" s="1"/>
  <c r="F14" i="46"/>
  <c r="L14" i="57"/>
  <c r="G6" i="57"/>
  <c r="G6" i="46"/>
  <c r="J6" i="46"/>
  <c r="G22" i="46"/>
  <c r="G22" i="57"/>
  <c r="J23" i="46"/>
  <c r="J23" i="57"/>
  <c r="N7" i="57"/>
  <c r="N7" i="46"/>
  <c r="E7" i="57"/>
  <c r="E7" i="46"/>
  <c r="I20" i="46"/>
  <c r="I20" i="57"/>
  <c r="M20" i="46"/>
  <c r="M20" i="57"/>
  <c r="D11" i="57"/>
  <c r="F11" i="57"/>
  <c r="L19" i="46"/>
  <c r="F12" i="57"/>
  <c r="D4" i="46"/>
  <c r="D4" i="57"/>
  <c r="L4" i="46"/>
  <c r="L4" i="57"/>
  <c r="N17" i="57"/>
  <c r="N17" i="46"/>
  <c r="C17" i="57"/>
  <c r="C17" i="46"/>
  <c r="L17" i="57"/>
  <c r="L17" i="46"/>
  <c r="J9" i="46"/>
  <c r="I6" i="46"/>
  <c r="K6" i="57"/>
  <c r="K6" i="46"/>
  <c r="H6" i="57"/>
  <c r="H6" i="46"/>
  <c r="N22" i="57"/>
  <c r="D23" i="46"/>
  <c r="M23" i="57"/>
  <c r="M23" i="46"/>
  <c r="H18" i="57"/>
  <c r="H18" i="46"/>
  <c r="I7" i="46"/>
  <c r="C7" i="57"/>
  <c r="C7" i="46"/>
  <c r="M7" i="46"/>
  <c r="M7" i="57"/>
  <c r="H13" i="57"/>
  <c r="H13" i="46"/>
  <c r="D20" i="46"/>
  <c r="D20" i="57"/>
  <c r="E20" i="57"/>
  <c r="E20" i="46"/>
  <c r="K20" i="57"/>
  <c r="K20" i="46"/>
  <c r="F4" i="57"/>
  <c r="F4" i="46"/>
  <c r="H4" i="46"/>
  <c r="H4" i="57"/>
  <c r="I17" i="57"/>
  <c r="I17" i="46"/>
  <c r="J17" i="46"/>
  <c r="J17" i="57"/>
  <c r="F17" i="57"/>
  <c r="F17" i="46"/>
  <c r="I10" i="46"/>
  <c r="J10" i="57"/>
  <c r="J10" i="46"/>
  <c r="C10" i="57"/>
  <c r="E15" i="46"/>
  <c r="E15" i="57"/>
  <c r="O27" i="47"/>
  <c r="N6" i="46"/>
  <c r="N6" i="57"/>
  <c r="M6" i="57"/>
  <c r="M6" i="46"/>
  <c r="L6" i="46"/>
  <c r="M5" i="46"/>
  <c r="M5" i="57"/>
  <c r="N23" i="46"/>
  <c r="N23" i="57"/>
  <c r="F23" i="46"/>
  <c r="F23" i="57"/>
  <c r="H23" i="46"/>
  <c r="H23" i="57"/>
  <c r="L16" i="57"/>
  <c r="L16" i="46"/>
  <c r="F20" i="57"/>
  <c r="F20" i="46"/>
  <c r="H20" i="46"/>
  <c r="H20" i="57"/>
  <c r="L20" i="57"/>
  <c r="L20" i="46"/>
  <c r="O4" i="40"/>
  <c r="C24" i="40"/>
  <c r="I4" i="57"/>
  <c r="D17" i="46"/>
  <c r="D17" i="57"/>
  <c r="M17" i="57"/>
  <c r="M17" i="46"/>
  <c r="K17" i="57"/>
  <c r="K17" i="46"/>
  <c r="K10" i="46"/>
  <c r="K10" i="57"/>
  <c r="E6" i="57"/>
  <c r="E6" i="46"/>
  <c r="K23" i="57"/>
  <c r="L23" i="46"/>
  <c r="L23" i="57"/>
  <c r="J7" i="46"/>
  <c r="H7" i="57"/>
  <c r="H7" i="46"/>
  <c r="N20" i="46"/>
  <c r="N20" i="57"/>
  <c r="G20" i="46"/>
  <c r="G20" i="57"/>
  <c r="C20" i="57"/>
  <c r="C20" i="46"/>
  <c r="K11" i="57"/>
  <c r="K11" i="46"/>
  <c r="H12" i="46"/>
  <c r="H12" i="57"/>
  <c r="K4" i="57"/>
  <c r="K4" i="46"/>
  <c r="G21" i="57"/>
  <c r="G21" i="46"/>
  <c r="H17" i="46"/>
  <c r="H17" i="57"/>
  <c r="F10" i="46"/>
  <c r="F10" i="57"/>
  <c r="G10" i="57"/>
  <c r="G10" i="46"/>
  <c r="L15" i="46"/>
  <c r="L15" i="57"/>
  <c r="O14" i="5"/>
  <c r="P14" i="5" s="1"/>
  <c r="O26" i="5"/>
  <c r="Q26" i="5" s="1"/>
  <c r="W27" i="3" s="1"/>
  <c r="G59" i="5"/>
  <c r="H59" i="5" s="1"/>
  <c r="O13" i="5"/>
  <c r="P13" i="5" s="1"/>
  <c r="O28" i="5"/>
  <c r="O23" i="5"/>
  <c r="P23" i="5" s="1"/>
  <c r="P19" i="5"/>
  <c r="I43" i="5"/>
  <c r="J43" i="5" s="1"/>
  <c r="O20" i="4"/>
  <c r="P20" i="4" s="1"/>
  <c r="L10" i="4"/>
  <c r="L23" i="4"/>
  <c r="L14" i="4"/>
  <c r="L26" i="4"/>
  <c r="L25" i="4"/>
  <c r="L27" i="4"/>
  <c r="L22" i="4"/>
  <c r="L8" i="4"/>
  <c r="L12" i="4"/>
  <c r="L11" i="4"/>
  <c r="L9" i="4"/>
  <c r="L24" i="4"/>
  <c r="L17" i="4"/>
  <c r="L16" i="4"/>
  <c r="L15" i="4"/>
  <c r="L21" i="4"/>
  <c r="L13" i="4"/>
  <c r="L19" i="4"/>
  <c r="L18" i="4"/>
  <c r="G28" i="4"/>
  <c r="K28" i="4"/>
  <c r="I14" i="8"/>
  <c r="I19" i="8"/>
  <c r="I25" i="8"/>
  <c r="I15" i="8"/>
  <c r="I10" i="8"/>
  <c r="I9" i="8"/>
  <c r="I12" i="8"/>
  <c r="I27" i="8"/>
  <c r="I21" i="8"/>
  <c r="I18" i="8"/>
  <c r="I24" i="8"/>
  <c r="I20" i="8"/>
  <c r="I17" i="8"/>
  <c r="I11" i="8"/>
  <c r="I23" i="8"/>
  <c r="I8" i="8"/>
  <c r="B7" i="38" s="1"/>
  <c r="I22" i="8"/>
  <c r="I16" i="8"/>
  <c r="I26" i="8"/>
  <c r="I13" i="8"/>
  <c r="Q10" i="5"/>
  <c r="W11" i="3" s="1"/>
  <c r="J46" i="5"/>
  <c r="Q9" i="5"/>
  <c r="W10" i="3" s="1"/>
  <c r="Q20" i="5"/>
  <c r="W21" i="3" s="1"/>
  <c r="J47" i="5"/>
  <c r="J39" i="5"/>
  <c r="J42" i="5"/>
  <c r="Q16" i="5"/>
  <c r="W17" i="3" s="1"/>
  <c r="J52" i="5"/>
  <c r="J55" i="5"/>
  <c r="Q24" i="5"/>
  <c r="W25" i="3" s="1"/>
  <c r="Q25" i="5"/>
  <c r="W26" i="3" s="1"/>
  <c r="H44" i="5"/>
  <c r="I44" i="5"/>
  <c r="Q22" i="5"/>
  <c r="W23" i="3" s="1"/>
  <c r="P12" i="5"/>
  <c r="Q12" i="5"/>
  <c r="W13" i="3" s="1"/>
  <c r="Q17" i="5"/>
  <c r="W18" i="3" s="1"/>
  <c r="Q15" i="5"/>
  <c r="W16" i="3" s="1"/>
  <c r="Q8" i="5"/>
  <c r="W9" i="3" s="1"/>
  <c r="Q11" i="5"/>
  <c r="W12" i="3" s="1"/>
  <c r="Q19" i="5"/>
  <c r="W20" i="3" s="1"/>
  <c r="Z8" i="5"/>
  <c r="U8" i="5"/>
  <c r="H40" i="5"/>
  <c r="I40" i="5"/>
  <c r="L28" i="5"/>
  <c r="Q27" i="5"/>
  <c r="W28" i="3" s="1"/>
  <c r="O20" i="48" l="1"/>
  <c r="E17" i="57"/>
  <c r="F6" i="57"/>
  <c r="M10" i="46"/>
  <c r="H21" i="57"/>
  <c r="L7" i="57"/>
  <c r="H10" i="57"/>
  <c r="L12" i="57"/>
  <c r="C23" i="57"/>
  <c r="C4" i="57"/>
  <c r="G23" i="46"/>
  <c r="E4" i="46"/>
  <c r="O4" i="46" s="1"/>
  <c r="L10" i="46"/>
  <c r="E21" i="57"/>
  <c r="J4" i="57"/>
  <c r="G7" i="57"/>
  <c r="B17" i="35"/>
  <c r="I19" i="73"/>
  <c r="J19" i="73" s="1"/>
  <c r="AA19" i="3" s="1"/>
  <c r="Z19" i="3"/>
  <c r="B14" i="58"/>
  <c r="B22" i="35"/>
  <c r="I24" i="73"/>
  <c r="J24" i="73" s="1"/>
  <c r="AA24" i="3" s="1"/>
  <c r="B19" i="58"/>
  <c r="Z24" i="3"/>
  <c r="G9" i="73"/>
  <c r="F29" i="73"/>
  <c r="B15" i="35"/>
  <c r="I17" i="73"/>
  <c r="J17" i="73" s="1"/>
  <c r="AA17" i="3" s="1"/>
  <c r="Z17" i="3"/>
  <c r="B12" i="58"/>
  <c r="B24" i="35"/>
  <c r="I26" i="73"/>
  <c r="J26" i="73" s="1"/>
  <c r="AA26" i="3" s="1"/>
  <c r="Z26" i="3"/>
  <c r="B21" i="58"/>
  <c r="B12" i="35"/>
  <c r="I14" i="73"/>
  <c r="J14" i="73" s="1"/>
  <c r="AA14" i="3" s="1"/>
  <c r="Z14" i="3"/>
  <c r="B9" i="58"/>
  <c r="K18" i="58"/>
  <c r="L18" i="58"/>
  <c r="I18" i="58"/>
  <c r="M18" i="58"/>
  <c r="F18" i="58"/>
  <c r="J18" i="58"/>
  <c r="H18" i="58"/>
  <c r="G18" i="58"/>
  <c r="E18" i="58"/>
  <c r="N18" i="58"/>
  <c r="C18" i="58"/>
  <c r="D18" i="58"/>
  <c r="B18" i="35"/>
  <c r="I20" i="73"/>
  <c r="J20" i="73" s="1"/>
  <c r="AA20" i="3" s="1"/>
  <c r="Z20" i="3"/>
  <c r="B15" i="58"/>
  <c r="B9" i="35"/>
  <c r="I11" i="73"/>
  <c r="J11" i="73" s="1"/>
  <c r="AA11" i="3" s="1"/>
  <c r="Z11" i="3"/>
  <c r="B6" i="58"/>
  <c r="B13" i="35"/>
  <c r="I15" i="73"/>
  <c r="J15" i="73" s="1"/>
  <c r="AA15" i="3" s="1"/>
  <c r="Z15" i="3"/>
  <c r="B10" i="58"/>
  <c r="B14" i="35"/>
  <c r="I16" i="73"/>
  <c r="J16" i="73" s="1"/>
  <c r="AA16" i="3" s="1"/>
  <c r="B11" i="58"/>
  <c r="Z16" i="3"/>
  <c r="B20" i="35"/>
  <c r="I22" i="73"/>
  <c r="J22" i="73" s="1"/>
  <c r="AA22" i="3" s="1"/>
  <c r="B17" i="58"/>
  <c r="Z22" i="3"/>
  <c r="B8" i="35"/>
  <c r="I10" i="73"/>
  <c r="J10" i="73" s="1"/>
  <c r="AA10" i="3" s="1"/>
  <c r="Z10" i="3"/>
  <c r="B5" i="58"/>
  <c r="B19" i="35"/>
  <c r="I21" i="73"/>
  <c r="J21" i="73" s="1"/>
  <c r="AA21" i="3" s="1"/>
  <c r="Z21" i="3"/>
  <c r="B16" i="58"/>
  <c r="B26" i="35"/>
  <c r="I28" i="73"/>
  <c r="J28" i="73" s="1"/>
  <c r="AA28" i="3" s="1"/>
  <c r="Z28" i="3"/>
  <c r="B23" i="58"/>
  <c r="B23" i="35"/>
  <c r="I25" i="73"/>
  <c r="J25" i="73" s="1"/>
  <c r="AA25" i="3" s="1"/>
  <c r="B20" i="58"/>
  <c r="Z25" i="3"/>
  <c r="B25" i="35"/>
  <c r="I27" i="73"/>
  <c r="J27" i="73" s="1"/>
  <c r="AA27" i="3" s="1"/>
  <c r="Z27" i="3"/>
  <c r="B22" i="58"/>
  <c r="B10" i="35"/>
  <c r="I12" i="73"/>
  <c r="J12" i="73" s="1"/>
  <c r="AA12" i="3" s="1"/>
  <c r="Z12" i="3"/>
  <c r="B7" i="58"/>
  <c r="B16" i="35"/>
  <c r="I18" i="73"/>
  <c r="J18" i="73" s="1"/>
  <c r="AA18" i="3" s="1"/>
  <c r="Z18" i="3"/>
  <c r="B13" i="58"/>
  <c r="B11" i="35"/>
  <c r="I13" i="73"/>
  <c r="J13" i="73" s="1"/>
  <c r="AA13" i="3" s="1"/>
  <c r="Z13" i="3"/>
  <c r="B8" i="58"/>
  <c r="N10" i="57"/>
  <c r="G17" i="46"/>
  <c r="O17" i="46" s="1"/>
  <c r="J11" i="57"/>
  <c r="M4" i="57"/>
  <c r="N11" i="57"/>
  <c r="C21" i="57"/>
  <c r="E11" i="46"/>
  <c r="I23" i="57"/>
  <c r="O23" i="57" s="1"/>
  <c r="N4" i="46"/>
  <c r="K7" i="57"/>
  <c r="G17" i="57"/>
  <c r="E14" i="46"/>
  <c r="C11" i="46"/>
  <c r="N14" i="46"/>
  <c r="O10" i="48"/>
  <c r="O13" i="48"/>
  <c r="F7" i="46"/>
  <c r="D6" i="46"/>
  <c r="O6" i="46" s="1"/>
  <c r="F21" i="46"/>
  <c r="L21" i="57"/>
  <c r="J12" i="46"/>
  <c r="E10" i="46"/>
  <c r="O9" i="48"/>
  <c r="J14" i="46"/>
  <c r="N21" i="57"/>
  <c r="C6" i="57"/>
  <c r="C10" i="46"/>
  <c r="D10" i="46"/>
  <c r="O7" i="48"/>
  <c r="O23" i="48"/>
  <c r="G4" i="57"/>
  <c r="D7" i="57"/>
  <c r="E23" i="46"/>
  <c r="K12" i="57"/>
  <c r="J20" i="46"/>
  <c r="O20" i="46" s="1"/>
  <c r="O26" i="48"/>
  <c r="I11" i="46"/>
  <c r="F16" i="57"/>
  <c r="C12" i="46"/>
  <c r="D7" i="46"/>
  <c r="G14" i="46"/>
  <c r="K15" i="57"/>
  <c r="L11" i="57"/>
  <c r="H14" i="57"/>
  <c r="I21" i="57"/>
  <c r="D15" i="57"/>
  <c r="J21" i="46"/>
  <c r="D14" i="57"/>
  <c r="K21" i="57"/>
  <c r="J15" i="46"/>
  <c r="M14" i="46"/>
  <c r="O24" i="48"/>
  <c r="M15" i="57"/>
  <c r="M11" i="57"/>
  <c r="E22" i="57"/>
  <c r="G15" i="57"/>
  <c r="F22" i="57"/>
  <c r="G12" i="57"/>
  <c r="H15" i="46"/>
  <c r="K14" i="46"/>
  <c r="M21" i="46"/>
  <c r="I14" i="57"/>
  <c r="C14" i="57"/>
  <c r="I15" i="46"/>
  <c r="G11" i="46"/>
  <c r="I19" i="57"/>
  <c r="N19" i="57"/>
  <c r="O14" i="48"/>
  <c r="D21" i="57"/>
  <c r="E12" i="46"/>
  <c r="H16" i="57"/>
  <c r="N15" i="46"/>
  <c r="O17" i="48"/>
  <c r="H22" i="57"/>
  <c r="H11" i="46"/>
  <c r="L22" i="57"/>
  <c r="C15" i="46"/>
  <c r="I12" i="57"/>
  <c r="O12" i="57" s="1"/>
  <c r="N12" i="46"/>
  <c r="H5" i="57"/>
  <c r="O18" i="48"/>
  <c r="O15" i="48"/>
  <c r="D12" i="46"/>
  <c r="M12" i="46"/>
  <c r="K22" i="57"/>
  <c r="K18" i="46"/>
  <c r="N16" i="57"/>
  <c r="F15" i="57"/>
  <c r="M13" i="57"/>
  <c r="J22" i="57"/>
  <c r="E13" i="46"/>
  <c r="C22" i="46"/>
  <c r="D19" i="46"/>
  <c r="M22" i="46"/>
  <c r="G16" i="46"/>
  <c r="F15" i="46"/>
  <c r="C13" i="46"/>
  <c r="G18" i="57"/>
  <c r="E5" i="46"/>
  <c r="I9" i="46"/>
  <c r="J16" i="57"/>
  <c r="D16" i="46"/>
  <c r="C18" i="46"/>
  <c r="E9" i="46"/>
  <c r="C5" i="46"/>
  <c r="O25" i="48"/>
  <c r="H9" i="57"/>
  <c r="F5" i="46"/>
  <c r="N9" i="57"/>
  <c r="D22" i="57"/>
  <c r="K5" i="57"/>
  <c r="I22" i="46"/>
  <c r="O8" i="46"/>
  <c r="J5" i="57"/>
  <c r="L5" i="46"/>
  <c r="D5" i="46"/>
  <c r="D13" i="46"/>
  <c r="I5" i="46"/>
  <c r="O8" i="48"/>
  <c r="G5" i="46"/>
  <c r="N5" i="46"/>
  <c r="N5" i="57"/>
  <c r="J19" i="46"/>
  <c r="K16" i="57"/>
  <c r="M18" i="57"/>
  <c r="O8" i="57"/>
  <c r="F13" i="46"/>
  <c r="U28" i="5"/>
  <c r="D18" i="57"/>
  <c r="E19" i="46"/>
  <c r="K13" i="57"/>
  <c r="E16" i="46"/>
  <c r="M16" i="57"/>
  <c r="C19" i="46"/>
  <c r="M19" i="57"/>
  <c r="K9" i="46"/>
  <c r="M9" i="57"/>
  <c r="Z28" i="5"/>
  <c r="I16" i="57"/>
  <c r="C9" i="46"/>
  <c r="C27" i="48"/>
  <c r="O19" i="48"/>
  <c r="N18" i="57"/>
  <c r="D9" i="46"/>
  <c r="G13" i="46"/>
  <c r="C16" i="46"/>
  <c r="G19" i="46"/>
  <c r="N27" i="48"/>
  <c r="F9" i="46"/>
  <c r="D27" i="48"/>
  <c r="M27" i="48"/>
  <c r="G27" i="48"/>
  <c r="G9" i="57"/>
  <c r="O12" i="48"/>
  <c r="L9" i="57"/>
  <c r="F19" i="46"/>
  <c r="O22" i="48"/>
  <c r="E18" i="46"/>
  <c r="I18" i="46"/>
  <c r="E27" i="48"/>
  <c r="K19" i="46"/>
  <c r="K27" i="48"/>
  <c r="I13" i="46"/>
  <c r="H19" i="57"/>
  <c r="J13" i="57"/>
  <c r="I27" i="48"/>
  <c r="H27" i="48"/>
  <c r="J18" i="57"/>
  <c r="L18" i="57"/>
  <c r="O16" i="48"/>
  <c r="L13" i="46"/>
  <c r="L24" i="46" s="1"/>
  <c r="F27" i="48"/>
  <c r="F18" i="57"/>
  <c r="N13" i="57"/>
  <c r="O21" i="48"/>
  <c r="L27" i="48"/>
  <c r="N13" i="46"/>
  <c r="J27" i="48"/>
  <c r="O18" i="4"/>
  <c r="P18" i="4" s="1"/>
  <c r="E17" i="13"/>
  <c r="F17" i="13" s="1"/>
  <c r="E17" i="14"/>
  <c r="F17" i="14" s="1"/>
  <c r="O13" i="4"/>
  <c r="P13" i="4" s="1"/>
  <c r="E12" i="14"/>
  <c r="F12" i="14" s="1"/>
  <c r="E12" i="13"/>
  <c r="F12" i="13" s="1"/>
  <c r="O17" i="4"/>
  <c r="P17" i="4" s="1"/>
  <c r="E16" i="13"/>
  <c r="F16" i="13" s="1"/>
  <c r="E16" i="14"/>
  <c r="F16" i="14" s="1"/>
  <c r="O12" i="4"/>
  <c r="P12" i="4" s="1"/>
  <c r="E11" i="13"/>
  <c r="F11" i="13" s="1"/>
  <c r="E11" i="14"/>
  <c r="F11" i="14" s="1"/>
  <c r="O25" i="4"/>
  <c r="P25" i="4" s="1"/>
  <c r="E24" i="14"/>
  <c r="F24" i="14" s="1"/>
  <c r="E24" i="13"/>
  <c r="F24" i="13" s="1"/>
  <c r="O10" i="4"/>
  <c r="P10" i="4" s="1"/>
  <c r="E9" i="13"/>
  <c r="F9" i="13" s="1"/>
  <c r="E9" i="14"/>
  <c r="F9" i="14" s="1"/>
  <c r="O22" i="4"/>
  <c r="P22" i="4" s="1"/>
  <c r="E21" i="13"/>
  <c r="F21" i="13" s="1"/>
  <c r="E21" i="14"/>
  <c r="F21" i="14" s="1"/>
  <c r="E20" i="13"/>
  <c r="F20" i="13" s="1"/>
  <c r="E20" i="14"/>
  <c r="F20" i="14" s="1"/>
  <c r="O24" i="4"/>
  <c r="P24" i="4" s="1"/>
  <c r="E23" i="13"/>
  <c r="F23" i="13" s="1"/>
  <c r="E23" i="14"/>
  <c r="F23" i="14" s="1"/>
  <c r="O8" i="4"/>
  <c r="P8" i="4" s="1"/>
  <c r="E7" i="13"/>
  <c r="F7" i="13" s="1"/>
  <c r="E7" i="14"/>
  <c r="O26" i="4"/>
  <c r="P26" i="4" s="1"/>
  <c r="E25" i="13"/>
  <c r="F25" i="13" s="1"/>
  <c r="E25" i="14"/>
  <c r="F25" i="14" s="1"/>
  <c r="O15" i="4"/>
  <c r="P15" i="4" s="1"/>
  <c r="E14" i="13"/>
  <c r="F14" i="13" s="1"/>
  <c r="E14" i="14"/>
  <c r="F14" i="14" s="1"/>
  <c r="O9" i="4"/>
  <c r="P9" i="4" s="1"/>
  <c r="E8" i="13"/>
  <c r="F8" i="13" s="1"/>
  <c r="E8" i="14"/>
  <c r="F8" i="14" s="1"/>
  <c r="O14" i="4"/>
  <c r="P14" i="4" s="1"/>
  <c r="E13" i="13"/>
  <c r="F13" i="13" s="1"/>
  <c r="E13" i="14"/>
  <c r="F13" i="14" s="1"/>
  <c r="O19" i="4"/>
  <c r="P19" i="4" s="1"/>
  <c r="E18" i="13"/>
  <c r="F18" i="13" s="1"/>
  <c r="E18" i="14"/>
  <c r="F18" i="14" s="1"/>
  <c r="O16" i="4"/>
  <c r="P16" i="4" s="1"/>
  <c r="E15" i="13"/>
  <c r="F15" i="13" s="1"/>
  <c r="E15" i="14"/>
  <c r="F15" i="14" s="1"/>
  <c r="O11" i="4"/>
  <c r="P11" i="4" s="1"/>
  <c r="E10" i="13"/>
  <c r="F10" i="13" s="1"/>
  <c r="E10" i="14"/>
  <c r="F10" i="14" s="1"/>
  <c r="E26" i="13"/>
  <c r="F26" i="13" s="1"/>
  <c r="E26" i="14"/>
  <c r="F26" i="14" s="1"/>
  <c r="E22" i="13"/>
  <c r="F22" i="13" s="1"/>
  <c r="E22" i="14"/>
  <c r="F22" i="14" s="1"/>
  <c r="O27" i="41"/>
  <c r="O24" i="40"/>
  <c r="Q21" i="5"/>
  <c r="W22" i="3" s="1"/>
  <c r="P18" i="5"/>
  <c r="O8" i="65"/>
  <c r="O28" i="65" s="1"/>
  <c r="P8" i="65" s="1"/>
  <c r="N28" i="65"/>
  <c r="L28" i="65"/>
  <c r="M28" i="65" s="1"/>
  <c r="M8" i="65"/>
  <c r="P26" i="5"/>
  <c r="O20" i="57"/>
  <c r="X19" i="3"/>
  <c r="B17" i="38"/>
  <c r="X14" i="3"/>
  <c r="B12" i="38"/>
  <c r="E7" i="38"/>
  <c r="D4" i="37" s="1"/>
  <c r="G7" i="38"/>
  <c r="F4" i="37" s="1"/>
  <c r="I7" i="38"/>
  <c r="H4" i="37" s="1"/>
  <c r="M7" i="38"/>
  <c r="L4" i="37" s="1"/>
  <c r="F7" i="38"/>
  <c r="E4" i="37" s="1"/>
  <c r="J7" i="38"/>
  <c r="I4" i="37" s="1"/>
  <c r="H7" i="38"/>
  <c r="G4" i="37" s="1"/>
  <c r="N7" i="38"/>
  <c r="M4" i="37" s="1"/>
  <c r="C7" i="38"/>
  <c r="B4" i="37" s="1"/>
  <c r="K7" i="38"/>
  <c r="J4" i="37" s="1"/>
  <c r="D7" i="38"/>
  <c r="C4" i="37" s="1"/>
  <c r="L7" i="38"/>
  <c r="K4" i="37" s="1"/>
  <c r="X21" i="3"/>
  <c r="B19" i="38"/>
  <c r="X28" i="3"/>
  <c r="B26" i="38"/>
  <c r="X16" i="3"/>
  <c r="B14" i="38"/>
  <c r="O10" i="57"/>
  <c r="O23" i="46"/>
  <c r="X27" i="3"/>
  <c r="B25" i="38"/>
  <c r="X24" i="3"/>
  <c r="B22" i="38"/>
  <c r="X25" i="3"/>
  <c r="B23" i="38"/>
  <c r="X13" i="3"/>
  <c r="B11" i="38"/>
  <c r="X26" i="3"/>
  <c r="B24" i="38"/>
  <c r="O17" i="57"/>
  <c r="O6" i="57"/>
  <c r="X17" i="3"/>
  <c r="B15" i="38"/>
  <c r="X12" i="3"/>
  <c r="B10" i="38"/>
  <c r="X10" i="3"/>
  <c r="B8" i="38"/>
  <c r="X20" i="3"/>
  <c r="B18" i="38"/>
  <c r="X23" i="3"/>
  <c r="B21" i="38"/>
  <c r="X18" i="3"/>
  <c r="B16" i="38"/>
  <c r="X22" i="3"/>
  <c r="B20" i="38"/>
  <c r="X11" i="3"/>
  <c r="B9" i="38"/>
  <c r="X15" i="3"/>
  <c r="B13" i="38"/>
  <c r="O11" i="57"/>
  <c r="Q13" i="5"/>
  <c r="W14" i="3" s="1"/>
  <c r="Q14" i="5"/>
  <c r="W15" i="3" s="1"/>
  <c r="Q23" i="5"/>
  <c r="W24" i="3" s="1"/>
  <c r="X9" i="3"/>
  <c r="J8" i="8"/>
  <c r="M9" i="4"/>
  <c r="N9" i="4" s="1"/>
  <c r="M27" i="4"/>
  <c r="N27" i="4" s="1"/>
  <c r="L28" i="4"/>
  <c r="M21" i="4"/>
  <c r="N21" i="4" s="1"/>
  <c r="M24" i="4"/>
  <c r="N24" i="4" s="1"/>
  <c r="M22" i="4"/>
  <c r="N22" i="4" s="1"/>
  <c r="M14" i="4"/>
  <c r="N14" i="4" s="1"/>
  <c r="M18" i="4"/>
  <c r="N18" i="4" s="1"/>
  <c r="M15" i="4"/>
  <c r="N15" i="4" s="1"/>
  <c r="M13" i="4"/>
  <c r="N13" i="4" s="1"/>
  <c r="M17" i="4"/>
  <c r="N17" i="4" s="1"/>
  <c r="M12" i="4"/>
  <c r="N12" i="4" s="1"/>
  <c r="M8" i="4"/>
  <c r="N8" i="4" s="1"/>
  <c r="M26" i="4"/>
  <c r="N26" i="4" s="1"/>
  <c r="M23" i="4"/>
  <c r="N23" i="4" s="1"/>
  <c r="O23" i="4"/>
  <c r="P23" i="4" s="1"/>
  <c r="O21" i="4"/>
  <c r="P21" i="4" s="1"/>
  <c r="O27" i="4"/>
  <c r="P27" i="4" s="1"/>
  <c r="M19" i="4"/>
  <c r="N19" i="4" s="1"/>
  <c r="M16" i="4"/>
  <c r="N16" i="4" s="1"/>
  <c r="M11" i="4"/>
  <c r="N11" i="4" s="1"/>
  <c r="M25" i="4"/>
  <c r="N25" i="4" s="1"/>
  <c r="M10" i="4"/>
  <c r="N10" i="4" s="1"/>
  <c r="J9" i="8"/>
  <c r="K9" i="8" s="1"/>
  <c r="Y10" i="3" s="1"/>
  <c r="L14" i="8"/>
  <c r="N14" i="8" s="1"/>
  <c r="J14" i="8"/>
  <c r="K14" i="8" s="1"/>
  <c r="Y15" i="3" s="1"/>
  <c r="J25" i="8"/>
  <c r="K25" i="8" s="1"/>
  <c r="Y26" i="3" s="1"/>
  <c r="L19" i="8"/>
  <c r="N19" i="8" s="1"/>
  <c r="J19" i="8"/>
  <c r="K19" i="8" s="1"/>
  <c r="Y20" i="3" s="1"/>
  <c r="L12" i="8"/>
  <c r="N12" i="8" s="1"/>
  <c r="L25" i="8"/>
  <c r="N25" i="8" s="1"/>
  <c r="L8" i="8"/>
  <c r="N8" i="8" s="1"/>
  <c r="J15" i="8"/>
  <c r="K15" i="8" s="1"/>
  <c r="Y16" i="3" s="1"/>
  <c r="L24" i="8"/>
  <c r="N24" i="8" s="1"/>
  <c r="L15" i="8"/>
  <c r="N15" i="8" s="1"/>
  <c r="J11" i="8"/>
  <c r="K11" i="8" s="1"/>
  <c r="Y12" i="3" s="1"/>
  <c r="J27" i="8"/>
  <c r="K27" i="8" s="1"/>
  <c r="Y28" i="3" s="1"/>
  <c r="L17" i="8"/>
  <c r="N17" i="8" s="1"/>
  <c r="J13" i="8"/>
  <c r="K13" i="8" s="1"/>
  <c r="Y14" i="3" s="1"/>
  <c r="L27" i="8"/>
  <c r="N27" i="8" s="1"/>
  <c r="J20" i="8"/>
  <c r="K20" i="8" s="1"/>
  <c r="Y21" i="3" s="1"/>
  <c r="J12" i="8"/>
  <c r="K12" i="8" s="1"/>
  <c r="Y13" i="3" s="1"/>
  <c r="J24" i="8"/>
  <c r="K24" i="8" s="1"/>
  <c r="Y25" i="3" s="1"/>
  <c r="L10" i="8"/>
  <c r="N10" i="8" s="1"/>
  <c r="L18" i="8"/>
  <c r="N18" i="8" s="1"/>
  <c r="J10" i="8"/>
  <c r="K10" i="8" s="1"/>
  <c r="Y11" i="3" s="1"/>
  <c r="L16" i="8"/>
  <c r="N16" i="8" s="1"/>
  <c r="J18" i="8"/>
  <c r="K18" i="8" s="1"/>
  <c r="Y19" i="3" s="1"/>
  <c r="L9" i="8"/>
  <c r="N9" i="8" s="1"/>
  <c r="J21" i="8"/>
  <c r="K21" i="8" s="1"/>
  <c r="Y22" i="3" s="1"/>
  <c r="L21" i="8"/>
  <c r="N21" i="8" s="1"/>
  <c r="J17" i="8"/>
  <c r="K17" i="8" s="1"/>
  <c r="Y18" i="3" s="1"/>
  <c r="J23" i="8"/>
  <c r="K23" i="8" s="1"/>
  <c r="Y24" i="3" s="1"/>
  <c r="L23" i="8"/>
  <c r="N23" i="8" s="1"/>
  <c r="L20" i="8"/>
  <c r="N20" i="8" s="1"/>
  <c r="L11" i="8"/>
  <c r="N11" i="8" s="1"/>
  <c r="J26" i="8"/>
  <c r="K26" i="8" s="1"/>
  <c r="Y27" i="3" s="1"/>
  <c r="L26" i="8"/>
  <c r="N26" i="8" s="1"/>
  <c r="J16" i="8"/>
  <c r="K16" i="8" s="1"/>
  <c r="Y17" i="3" s="1"/>
  <c r="J22" i="8"/>
  <c r="K22" i="8" s="1"/>
  <c r="Y23" i="3" s="1"/>
  <c r="L13" i="8"/>
  <c r="N13" i="8" s="1"/>
  <c r="L22" i="8"/>
  <c r="N22" i="8" s="1"/>
  <c r="J44" i="5"/>
  <c r="I59" i="5"/>
  <c r="J40" i="5"/>
  <c r="E24" i="57" l="1"/>
  <c r="E14" i="58"/>
  <c r="M14" i="58"/>
  <c r="F14" i="58"/>
  <c r="N14" i="58"/>
  <c r="G14" i="58"/>
  <c r="K14" i="58"/>
  <c r="H14" i="58"/>
  <c r="L14" i="58"/>
  <c r="I14" i="58"/>
  <c r="J14" i="58"/>
  <c r="C14" i="58"/>
  <c r="D14" i="58"/>
  <c r="K19" i="58"/>
  <c r="H19" i="58"/>
  <c r="G19" i="58"/>
  <c r="E19" i="58"/>
  <c r="I19" i="58"/>
  <c r="F19" i="58"/>
  <c r="L19" i="58"/>
  <c r="N19" i="58"/>
  <c r="M19" i="58"/>
  <c r="J19" i="58"/>
  <c r="C19" i="58"/>
  <c r="D19" i="58"/>
  <c r="O7" i="57"/>
  <c r="G8" i="58"/>
  <c r="M8" i="58"/>
  <c r="E8" i="58"/>
  <c r="H8" i="58"/>
  <c r="L8" i="58"/>
  <c r="K8" i="58"/>
  <c r="J8" i="58"/>
  <c r="I8" i="58"/>
  <c r="F8" i="58"/>
  <c r="N8" i="58"/>
  <c r="D8" i="58"/>
  <c r="C8" i="58"/>
  <c r="G13" i="58"/>
  <c r="J13" i="58"/>
  <c r="N13" i="58"/>
  <c r="K13" i="58"/>
  <c r="H13" i="58"/>
  <c r="L13" i="58"/>
  <c r="E13" i="58"/>
  <c r="M13" i="58"/>
  <c r="I13" i="58"/>
  <c r="F13" i="58"/>
  <c r="D13" i="58"/>
  <c r="C13" i="58"/>
  <c r="K7" i="58"/>
  <c r="J7" i="58"/>
  <c r="N7" i="58"/>
  <c r="L7" i="58"/>
  <c r="G7" i="58"/>
  <c r="H7" i="58"/>
  <c r="I7" i="58"/>
  <c r="M7" i="58"/>
  <c r="E7" i="58"/>
  <c r="F7" i="58"/>
  <c r="D7" i="58"/>
  <c r="C7" i="58"/>
  <c r="H22" i="58"/>
  <c r="E22" i="58"/>
  <c r="F22" i="58"/>
  <c r="G22" i="58"/>
  <c r="L22" i="58"/>
  <c r="J22" i="58"/>
  <c r="N22" i="58"/>
  <c r="K22" i="58"/>
  <c r="I22" i="58"/>
  <c r="M22" i="58"/>
  <c r="C22" i="58"/>
  <c r="D22" i="58"/>
  <c r="I23" i="58"/>
  <c r="J23" i="58"/>
  <c r="H23" i="58"/>
  <c r="K23" i="58"/>
  <c r="M23" i="58"/>
  <c r="F23" i="58"/>
  <c r="E23" i="58"/>
  <c r="L23" i="58"/>
  <c r="G23" i="58"/>
  <c r="N23" i="58"/>
  <c r="D23" i="58"/>
  <c r="C23" i="58"/>
  <c r="K16" i="58"/>
  <c r="H16" i="58"/>
  <c r="L16" i="58"/>
  <c r="M16" i="58"/>
  <c r="E16" i="58"/>
  <c r="J16" i="58"/>
  <c r="N16" i="58"/>
  <c r="G16" i="58"/>
  <c r="I16" i="58"/>
  <c r="F16" i="58"/>
  <c r="D16" i="58"/>
  <c r="C16" i="58"/>
  <c r="K5" i="58"/>
  <c r="H5" i="58"/>
  <c r="G5" i="58"/>
  <c r="L5" i="58"/>
  <c r="E5" i="58"/>
  <c r="M5" i="58"/>
  <c r="F5" i="58"/>
  <c r="J5" i="58"/>
  <c r="I5" i="58"/>
  <c r="N5" i="58"/>
  <c r="D5" i="58"/>
  <c r="C5" i="58"/>
  <c r="G10" i="58"/>
  <c r="I10" i="58"/>
  <c r="J10" i="58"/>
  <c r="L10" i="58"/>
  <c r="E10" i="58"/>
  <c r="F10" i="58"/>
  <c r="K10" i="58"/>
  <c r="H10" i="58"/>
  <c r="M10" i="58"/>
  <c r="N10" i="58"/>
  <c r="D10" i="58"/>
  <c r="C10" i="58"/>
  <c r="I6" i="58"/>
  <c r="J6" i="58"/>
  <c r="K6" i="58"/>
  <c r="G6" i="58"/>
  <c r="E6" i="58"/>
  <c r="F6" i="58"/>
  <c r="N6" i="58"/>
  <c r="H6" i="58"/>
  <c r="L6" i="58"/>
  <c r="M6" i="58"/>
  <c r="D6" i="58"/>
  <c r="C6" i="58"/>
  <c r="K15" i="58"/>
  <c r="M15" i="58"/>
  <c r="J15" i="58"/>
  <c r="F15" i="58"/>
  <c r="L15" i="58"/>
  <c r="I15" i="58"/>
  <c r="N15" i="58"/>
  <c r="H15" i="58"/>
  <c r="G15" i="58"/>
  <c r="E15" i="58"/>
  <c r="C15" i="58"/>
  <c r="D15" i="58"/>
  <c r="H9" i="58"/>
  <c r="L9" i="58"/>
  <c r="E9" i="58"/>
  <c r="I9" i="58"/>
  <c r="G9" i="58"/>
  <c r="M9" i="58"/>
  <c r="J9" i="58"/>
  <c r="N9" i="58"/>
  <c r="K9" i="58"/>
  <c r="F9" i="58"/>
  <c r="C9" i="58"/>
  <c r="D9" i="58"/>
  <c r="H21" i="58"/>
  <c r="G21" i="58"/>
  <c r="E21" i="58"/>
  <c r="F21" i="58"/>
  <c r="N21" i="58"/>
  <c r="I21" i="58"/>
  <c r="L21" i="58"/>
  <c r="M21" i="58"/>
  <c r="K21" i="58"/>
  <c r="J21" i="58"/>
  <c r="D21" i="58"/>
  <c r="C21" i="58"/>
  <c r="L12" i="58"/>
  <c r="K12" i="58"/>
  <c r="G12" i="58"/>
  <c r="E12" i="58"/>
  <c r="F12" i="58"/>
  <c r="J12" i="58"/>
  <c r="H12" i="58"/>
  <c r="M12" i="58"/>
  <c r="N12" i="58"/>
  <c r="I12" i="58"/>
  <c r="C12" i="58"/>
  <c r="D12" i="58"/>
  <c r="L20" i="58"/>
  <c r="G20" i="58"/>
  <c r="M20" i="58"/>
  <c r="I20" i="58"/>
  <c r="F20" i="58"/>
  <c r="N20" i="58"/>
  <c r="H20" i="58"/>
  <c r="J20" i="58"/>
  <c r="K20" i="58"/>
  <c r="E20" i="58"/>
  <c r="D20" i="58"/>
  <c r="C20" i="58"/>
  <c r="I17" i="58"/>
  <c r="N17" i="58"/>
  <c r="L17" i="58"/>
  <c r="H17" i="58"/>
  <c r="G17" i="58"/>
  <c r="E17" i="58"/>
  <c r="F17" i="58"/>
  <c r="J17" i="58"/>
  <c r="K17" i="58"/>
  <c r="M17" i="58"/>
  <c r="C17" i="58"/>
  <c r="D17" i="58"/>
  <c r="M11" i="58"/>
  <c r="F11" i="58"/>
  <c r="N11" i="58"/>
  <c r="K11" i="58"/>
  <c r="H11" i="58"/>
  <c r="E11" i="58"/>
  <c r="L11" i="58"/>
  <c r="G11" i="58"/>
  <c r="I11" i="58"/>
  <c r="J11" i="58"/>
  <c r="C11" i="58"/>
  <c r="D11" i="58"/>
  <c r="O18" i="58"/>
  <c r="I9" i="73"/>
  <c r="G29" i="73"/>
  <c r="B27" i="35" s="1"/>
  <c r="Z9" i="3"/>
  <c r="Z29" i="3" s="1"/>
  <c r="B4" i="58"/>
  <c r="O7" i="46"/>
  <c r="O4" i="57"/>
  <c r="O21" i="57"/>
  <c r="O14" i="46"/>
  <c r="J24" i="46"/>
  <c r="C24" i="57"/>
  <c r="O10" i="46"/>
  <c r="O21" i="46"/>
  <c r="O15" i="57"/>
  <c r="O14" i="57"/>
  <c r="O11" i="46"/>
  <c r="O12" i="46"/>
  <c r="O15" i="46"/>
  <c r="H24" i="46"/>
  <c r="N24" i="46"/>
  <c r="H24" i="57"/>
  <c r="O22" i="57"/>
  <c r="O22" i="46"/>
  <c r="F24" i="57"/>
  <c r="M24" i="46"/>
  <c r="G24" i="57"/>
  <c r="D24" i="57"/>
  <c r="D24" i="46"/>
  <c r="O5" i="57"/>
  <c r="O5" i="46"/>
  <c r="I24" i="46"/>
  <c r="O16" i="46"/>
  <c r="N24" i="57"/>
  <c r="K24" i="57"/>
  <c r="O19" i="57"/>
  <c r="J24" i="57"/>
  <c r="L24" i="57"/>
  <c r="G24" i="46"/>
  <c r="O16" i="57"/>
  <c r="M24" i="57"/>
  <c r="F24" i="46"/>
  <c r="E24" i="46"/>
  <c r="O9" i="57"/>
  <c r="O19" i="46"/>
  <c r="I24" i="57"/>
  <c r="O9" i="46"/>
  <c r="K24" i="46"/>
  <c r="C24" i="46"/>
  <c r="O13" i="57"/>
  <c r="O18" i="46"/>
  <c r="O18" i="57"/>
  <c r="O27" i="48"/>
  <c r="O13" i="46"/>
  <c r="F27" i="13"/>
  <c r="E27" i="13"/>
  <c r="E27" i="14"/>
  <c r="F7" i="14"/>
  <c r="F27" i="14" s="1"/>
  <c r="P28" i="5"/>
  <c r="P27" i="65"/>
  <c r="Q27" i="65" s="1"/>
  <c r="P18" i="65"/>
  <c r="P26" i="65"/>
  <c r="Q26" i="65" s="1"/>
  <c r="P24" i="65"/>
  <c r="P10" i="65"/>
  <c r="P15" i="65"/>
  <c r="P20" i="65"/>
  <c r="P22" i="65"/>
  <c r="P12" i="65"/>
  <c r="P25" i="65"/>
  <c r="P21" i="65"/>
  <c r="P11" i="65"/>
  <c r="P16" i="65"/>
  <c r="P13" i="65"/>
  <c r="P17" i="65"/>
  <c r="P14" i="65"/>
  <c r="P23" i="65"/>
  <c r="Q8" i="65"/>
  <c r="R8" i="65" s="1"/>
  <c r="S8" i="65" s="1"/>
  <c r="P9" i="65"/>
  <c r="P19" i="65"/>
  <c r="J19" i="35"/>
  <c r="H19" i="35"/>
  <c r="N19" i="35"/>
  <c r="L19" i="35"/>
  <c r="I19" i="35"/>
  <c r="D19" i="35"/>
  <c r="G19" i="35"/>
  <c r="F19" i="35"/>
  <c r="M19" i="35"/>
  <c r="E19" i="35"/>
  <c r="K19" i="35"/>
  <c r="C19" i="35"/>
  <c r="N23" i="35"/>
  <c r="J23" i="35"/>
  <c r="H23" i="35"/>
  <c r="I23" i="35"/>
  <c r="G23" i="35"/>
  <c r="E23" i="35"/>
  <c r="L23" i="35"/>
  <c r="D23" i="35"/>
  <c r="M23" i="35"/>
  <c r="K23" i="35"/>
  <c r="F23" i="35"/>
  <c r="C23" i="35"/>
  <c r="H9" i="35"/>
  <c r="J9" i="35"/>
  <c r="N9" i="35"/>
  <c r="E9" i="35"/>
  <c r="F9" i="35"/>
  <c r="D9" i="35"/>
  <c r="M9" i="35"/>
  <c r="C9" i="35"/>
  <c r="I9" i="35"/>
  <c r="G9" i="35"/>
  <c r="K9" i="35"/>
  <c r="L9" i="35"/>
  <c r="N10" i="35"/>
  <c r="J10" i="35"/>
  <c r="H10" i="35"/>
  <c r="I10" i="35"/>
  <c r="L10" i="35"/>
  <c r="M10" i="35"/>
  <c r="C10" i="35"/>
  <c r="F10" i="35"/>
  <c r="D10" i="35"/>
  <c r="G10" i="35"/>
  <c r="E10" i="35"/>
  <c r="K10" i="35"/>
  <c r="H21" i="35"/>
  <c r="J21" i="35"/>
  <c r="N21" i="35"/>
  <c r="C21" i="35"/>
  <c r="E21" i="35"/>
  <c r="D21" i="35"/>
  <c r="G21" i="35"/>
  <c r="K21" i="35"/>
  <c r="L21" i="35"/>
  <c r="I21" i="35"/>
  <c r="F21" i="35"/>
  <c r="M21" i="35"/>
  <c r="N18" i="35"/>
  <c r="J18" i="35"/>
  <c r="H18" i="35"/>
  <c r="F18" i="35"/>
  <c r="D18" i="35"/>
  <c r="G18" i="35"/>
  <c r="C18" i="35"/>
  <c r="L18" i="35"/>
  <c r="K18" i="35"/>
  <c r="M18" i="35"/>
  <c r="I18" i="35"/>
  <c r="E18" i="35"/>
  <c r="J22" i="35"/>
  <c r="H22" i="35"/>
  <c r="N22" i="35"/>
  <c r="E22" i="35"/>
  <c r="K22" i="35"/>
  <c r="C22" i="35"/>
  <c r="D22" i="35"/>
  <c r="M22" i="35"/>
  <c r="I22" i="35"/>
  <c r="G22" i="35"/>
  <c r="L22" i="35"/>
  <c r="F22" i="35"/>
  <c r="J14" i="35"/>
  <c r="H14" i="35"/>
  <c r="N14" i="35"/>
  <c r="D14" i="35"/>
  <c r="M14" i="35"/>
  <c r="L14" i="35"/>
  <c r="I14" i="35"/>
  <c r="G14" i="35"/>
  <c r="E14" i="35"/>
  <c r="F14" i="35"/>
  <c r="K14" i="35"/>
  <c r="C14" i="35"/>
  <c r="H15" i="35"/>
  <c r="N15" i="35"/>
  <c r="J15" i="35"/>
  <c r="E15" i="35"/>
  <c r="C15" i="35"/>
  <c r="K15" i="35"/>
  <c r="F15" i="35"/>
  <c r="M15" i="35"/>
  <c r="I15" i="35"/>
  <c r="G15" i="35"/>
  <c r="L15" i="35"/>
  <c r="D15" i="35"/>
  <c r="J26" i="35"/>
  <c r="N26" i="35"/>
  <c r="H26" i="35"/>
  <c r="M26" i="35"/>
  <c r="L26" i="35"/>
  <c r="F26" i="35"/>
  <c r="I26" i="35"/>
  <c r="D26" i="35"/>
  <c r="G26" i="35"/>
  <c r="E26" i="35"/>
  <c r="K26" i="35"/>
  <c r="C26" i="35"/>
  <c r="H11" i="35"/>
  <c r="J11" i="35"/>
  <c r="N11" i="35"/>
  <c r="K11" i="35"/>
  <c r="I11" i="35"/>
  <c r="E11" i="35"/>
  <c r="D11" i="35"/>
  <c r="M11" i="35"/>
  <c r="G11" i="35"/>
  <c r="L11" i="35"/>
  <c r="C11" i="35"/>
  <c r="F11" i="35"/>
  <c r="H17" i="35"/>
  <c r="J17" i="35"/>
  <c r="N17" i="35"/>
  <c r="M17" i="35"/>
  <c r="K17" i="35"/>
  <c r="F17" i="35"/>
  <c r="E17" i="35"/>
  <c r="D17" i="35"/>
  <c r="I17" i="35"/>
  <c r="C17" i="35"/>
  <c r="L17" i="35"/>
  <c r="G17" i="35"/>
  <c r="N25" i="35"/>
  <c r="J25" i="35"/>
  <c r="H25" i="35"/>
  <c r="L25" i="35"/>
  <c r="K25" i="35"/>
  <c r="G25" i="35"/>
  <c r="F25" i="35"/>
  <c r="I25" i="35"/>
  <c r="M25" i="35"/>
  <c r="D25" i="35"/>
  <c r="C25" i="35"/>
  <c r="E25" i="35"/>
  <c r="H24" i="35"/>
  <c r="J24" i="35"/>
  <c r="N24" i="35"/>
  <c r="D24" i="35"/>
  <c r="I24" i="35"/>
  <c r="E24" i="35"/>
  <c r="K24" i="35"/>
  <c r="C24" i="35"/>
  <c r="M24" i="35"/>
  <c r="G24" i="35"/>
  <c r="L24" i="35"/>
  <c r="F24" i="35"/>
  <c r="J11" i="38"/>
  <c r="I8" i="37" s="1"/>
  <c r="M11" i="38"/>
  <c r="L8" i="37" s="1"/>
  <c r="N11" i="38"/>
  <c r="M8" i="37" s="1"/>
  <c r="H11" i="38"/>
  <c r="G8" i="37" s="1"/>
  <c r="C11" i="38"/>
  <c r="B8" i="37" s="1"/>
  <c r="K11" i="38"/>
  <c r="J8" i="37" s="1"/>
  <c r="D11" i="38"/>
  <c r="C8" i="37" s="1"/>
  <c r="L11" i="38"/>
  <c r="K8" i="37" s="1"/>
  <c r="I11" i="38"/>
  <c r="H8" i="37" s="1"/>
  <c r="F11" i="38"/>
  <c r="E8" i="37" s="1"/>
  <c r="E11" i="38"/>
  <c r="D8" i="37" s="1"/>
  <c r="G11" i="38"/>
  <c r="F8" i="37" s="1"/>
  <c r="C22" i="38"/>
  <c r="B19" i="37" s="1"/>
  <c r="K22" i="38"/>
  <c r="J19" i="37" s="1"/>
  <c r="H22" i="38"/>
  <c r="G19" i="37" s="1"/>
  <c r="I22" i="38"/>
  <c r="H19" i="37" s="1"/>
  <c r="G22" i="38"/>
  <c r="F19" i="37" s="1"/>
  <c r="D22" i="38"/>
  <c r="C19" i="37" s="1"/>
  <c r="L22" i="38"/>
  <c r="K19" i="37" s="1"/>
  <c r="F22" i="38"/>
  <c r="E19" i="37" s="1"/>
  <c r="E22" i="38"/>
  <c r="D19" i="37" s="1"/>
  <c r="N22" i="38"/>
  <c r="M19" i="37" s="1"/>
  <c r="J22" i="38"/>
  <c r="I19" i="37" s="1"/>
  <c r="M22" i="38"/>
  <c r="L19" i="37" s="1"/>
  <c r="F12" i="38"/>
  <c r="E9" i="37" s="1"/>
  <c r="N12" i="38"/>
  <c r="M9" i="37" s="1"/>
  <c r="E12" i="38"/>
  <c r="D9" i="37" s="1"/>
  <c r="H12" i="38"/>
  <c r="G9" i="37" s="1"/>
  <c r="C12" i="38"/>
  <c r="B9" i="37" s="1"/>
  <c r="K12" i="38"/>
  <c r="J9" i="37" s="1"/>
  <c r="I12" i="38"/>
  <c r="H9" i="37" s="1"/>
  <c r="J12" i="38"/>
  <c r="I9" i="37" s="1"/>
  <c r="G12" i="38"/>
  <c r="F9" i="37" s="1"/>
  <c r="D12" i="38"/>
  <c r="C9" i="37" s="1"/>
  <c r="L12" i="38"/>
  <c r="K9" i="37" s="1"/>
  <c r="M12" i="38"/>
  <c r="L9" i="37" s="1"/>
  <c r="F9" i="38"/>
  <c r="E6" i="37" s="1"/>
  <c r="N9" i="38"/>
  <c r="M6" i="37" s="1"/>
  <c r="I9" i="38"/>
  <c r="H6" i="37" s="1"/>
  <c r="H9" i="38"/>
  <c r="G6" i="37" s="1"/>
  <c r="G9" i="38"/>
  <c r="F6" i="37" s="1"/>
  <c r="J9" i="38"/>
  <c r="I6" i="37" s="1"/>
  <c r="E9" i="38"/>
  <c r="D6" i="37" s="1"/>
  <c r="C9" i="38"/>
  <c r="B6" i="37" s="1"/>
  <c r="K9" i="38"/>
  <c r="J6" i="37" s="1"/>
  <c r="D9" i="38"/>
  <c r="C6" i="37" s="1"/>
  <c r="L9" i="38"/>
  <c r="K6" i="37" s="1"/>
  <c r="M9" i="38"/>
  <c r="L6" i="37" s="1"/>
  <c r="H16" i="38"/>
  <c r="G13" i="37" s="1"/>
  <c r="E16" i="38"/>
  <c r="D13" i="37" s="1"/>
  <c r="C16" i="38"/>
  <c r="B13" i="37" s="1"/>
  <c r="K16" i="38"/>
  <c r="J13" i="37" s="1"/>
  <c r="D16" i="38"/>
  <c r="C13" i="37" s="1"/>
  <c r="L16" i="38"/>
  <c r="K13" i="37" s="1"/>
  <c r="J16" i="38"/>
  <c r="I13" i="37" s="1"/>
  <c r="M16" i="38"/>
  <c r="L13" i="37" s="1"/>
  <c r="F16" i="38"/>
  <c r="E13" i="37" s="1"/>
  <c r="N16" i="38"/>
  <c r="M13" i="37" s="1"/>
  <c r="G16" i="38"/>
  <c r="F13" i="37" s="1"/>
  <c r="I16" i="38"/>
  <c r="H13" i="37" s="1"/>
  <c r="F18" i="38"/>
  <c r="E15" i="37" s="1"/>
  <c r="J18" i="38"/>
  <c r="I15" i="37" s="1"/>
  <c r="H18" i="38"/>
  <c r="G15" i="37" s="1"/>
  <c r="D18" i="38"/>
  <c r="C15" i="37" s="1"/>
  <c r="L18" i="38"/>
  <c r="K15" i="37" s="1"/>
  <c r="N18" i="38"/>
  <c r="M15" i="37" s="1"/>
  <c r="C18" i="38"/>
  <c r="B15" i="37" s="1"/>
  <c r="K18" i="38"/>
  <c r="J15" i="37" s="1"/>
  <c r="E18" i="38"/>
  <c r="D15" i="37" s="1"/>
  <c r="M18" i="38"/>
  <c r="L15" i="37" s="1"/>
  <c r="G18" i="38"/>
  <c r="F15" i="37" s="1"/>
  <c r="I18" i="38"/>
  <c r="H15" i="37" s="1"/>
  <c r="J10" i="38"/>
  <c r="I7" i="37" s="1"/>
  <c r="N10" i="38"/>
  <c r="M7" i="37" s="1"/>
  <c r="C10" i="38"/>
  <c r="B7" i="37" s="1"/>
  <c r="K10" i="38"/>
  <c r="J7" i="37" s="1"/>
  <c r="D10" i="38"/>
  <c r="C7" i="37" s="1"/>
  <c r="L10" i="38"/>
  <c r="K7" i="37" s="1"/>
  <c r="F10" i="38"/>
  <c r="E7" i="37" s="1"/>
  <c r="H10" i="38"/>
  <c r="G7" i="37" s="1"/>
  <c r="I10" i="38"/>
  <c r="H7" i="37" s="1"/>
  <c r="G10" i="38"/>
  <c r="F7" i="37" s="1"/>
  <c r="M10" i="38"/>
  <c r="L7" i="37" s="1"/>
  <c r="E10" i="38"/>
  <c r="D7" i="37" s="1"/>
  <c r="J14" i="38"/>
  <c r="I11" i="37" s="1"/>
  <c r="E14" i="38"/>
  <c r="D11" i="37" s="1"/>
  <c r="M14" i="38"/>
  <c r="L11" i="37" s="1"/>
  <c r="G14" i="38"/>
  <c r="F11" i="37" s="1"/>
  <c r="C14" i="38"/>
  <c r="B11" i="37" s="1"/>
  <c r="K14" i="38"/>
  <c r="J11" i="37" s="1"/>
  <c r="N14" i="38"/>
  <c r="M11" i="37" s="1"/>
  <c r="F14" i="38"/>
  <c r="E11" i="37" s="1"/>
  <c r="H14" i="38"/>
  <c r="G11" i="37" s="1"/>
  <c r="I14" i="38"/>
  <c r="H11" i="37" s="1"/>
  <c r="D14" i="38"/>
  <c r="C11" i="37" s="1"/>
  <c r="L14" i="38"/>
  <c r="K11" i="37" s="1"/>
  <c r="I19" i="38"/>
  <c r="H16" i="37" s="1"/>
  <c r="J19" i="38"/>
  <c r="I16" i="37" s="1"/>
  <c r="C19" i="38"/>
  <c r="B16" i="37" s="1"/>
  <c r="K19" i="38"/>
  <c r="J16" i="37" s="1"/>
  <c r="D19" i="38"/>
  <c r="C16" i="37" s="1"/>
  <c r="L19" i="38"/>
  <c r="K16" i="37" s="1"/>
  <c r="M19" i="38"/>
  <c r="L16" i="37" s="1"/>
  <c r="N19" i="38"/>
  <c r="M16" i="37" s="1"/>
  <c r="F19" i="38"/>
  <c r="E16" i="37" s="1"/>
  <c r="E19" i="38"/>
  <c r="D16" i="37" s="1"/>
  <c r="H19" i="38"/>
  <c r="G16" i="37" s="1"/>
  <c r="G19" i="38"/>
  <c r="F16" i="37" s="1"/>
  <c r="E15" i="38"/>
  <c r="D12" i="37" s="1"/>
  <c r="H15" i="38"/>
  <c r="G12" i="37" s="1"/>
  <c r="C15" i="38"/>
  <c r="B12" i="37" s="1"/>
  <c r="K15" i="38"/>
  <c r="J12" i="37" s="1"/>
  <c r="D15" i="38"/>
  <c r="C12" i="37" s="1"/>
  <c r="L15" i="38"/>
  <c r="K12" i="37" s="1"/>
  <c r="I15" i="38"/>
  <c r="H12" i="37" s="1"/>
  <c r="M15" i="38"/>
  <c r="L12" i="37" s="1"/>
  <c r="J15" i="38"/>
  <c r="I12" i="37" s="1"/>
  <c r="G15" i="38"/>
  <c r="F12" i="37" s="1"/>
  <c r="N15" i="38"/>
  <c r="M12" i="37" s="1"/>
  <c r="F15" i="38"/>
  <c r="E12" i="37" s="1"/>
  <c r="E24" i="38"/>
  <c r="D21" i="37" s="1"/>
  <c r="D24" i="38"/>
  <c r="C21" i="37" s="1"/>
  <c r="L24" i="38"/>
  <c r="K21" i="37" s="1"/>
  <c r="H24" i="38"/>
  <c r="G21" i="37" s="1"/>
  <c r="M24" i="38"/>
  <c r="L21" i="37" s="1"/>
  <c r="F24" i="38"/>
  <c r="E21" i="37" s="1"/>
  <c r="N24" i="38"/>
  <c r="M21" i="37" s="1"/>
  <c r="C24" i="38"/>
  <c r="B21" i="37" s="1"/>
  <c r="K24" i="38"/>
  <c r="J21" i="37" s="1"/>
  <c r="J24" i="38"/>
  <c r="I21" i="37" s="1"/>
  <c r="G24" i="38"/>
  <c r="F21" i="37" s="1"/>
  <c r="I24" i="38"/>
  <c r="H21" i="37" s="1"/>
  <c r="F23" i="38"/>
  <c r="E20" i="37" s="1"/>
  <c r="N23" i="38"/>
  <c r="M20" i="37" s="1"/>
  <c r="G23" i="38"/>
  <c r="F20" i="37" s="1"/>
  <c r="M23" i="38"/>
  <c r="L20" i="37" s="1"/>
  <c r="J23" i="38"/>
  <c r="I20" i="37" s="1"/>
  <c r="I23" i="38"/>
  <c r="H20" i="37" s="1"/>
  <c r="H23" i="38"/>
  <c r="G20" i="37" s="1"/>
  <c r="E23" i="38"/>
  <c r="D20" i="37" s="1"/>
  <c r="C23" i="38"/>
  <c r="B20" i="37" s="1"/>
  <c r="K23" i="38"/>
  <c r="J20" i="37" s="1"/>
  <c r="D23" i="38"/>
  <c r="C20" i="37" s="1"/>
  <c r="L23" i="38"/>
  <c r="K20" i="37" s="1"/>
  <c r="F25" i="38"/>
  <c r="E22" i="37" s="1"/>
  <c r="N25" i="38"/>
  <c r="M22" i="37" s="1"/>
  <c r="I25" i="38"/>
  <c r="H22" i="37" s="1"/>
  <c r="H25" i="38"/>
  <c r="G22" i="37" s="1"/>
  <c r="C25" i="38"/>
  <c r="B22" i="37" s="1"/>
  <c r="K25" i="38"/>
  <c r="J22" i="37" s="1"/>
  <c r="D25" i="38"/>
  <c r="C22" i="37" s="1"/>
  <c r="L25" i="38"/>
  <c r="K22" i="37" s="1"/>
  <c r="G25" i="38"/>
  <c r="F22" i="37" s="1"/>
  <c r="J25" i="38"/>
  <c r="I22" i="37" s="1"/>
  <c r="E25" i="38"/>
  <c r="D22" i="37" s="1"/>
  <c r="M25" i="38"/>
  <c r="L22" i="37" s="1"/>
  <c r="O7" i="38"/>
  <c r="J17" i="38"/>
  <c r="I14" i="37" s="1"/>
  <c r="E17" i="38"/>
  <c r="D14" i="37" s="1"/>
  <c r="M17" i="38"/>
  <c r="L14" i="37" s="1"/>
  <c r="C17" i="38"/>
  <c r="B14" i="37" s="1"/>
  <c r="K17" i="38"/>
  <c r="J14" i="37" s="1"/>
  <c r="D17" i="38"/>
  <c r="C14" i="37" s="1"/>
  <c r="L17" i="38"/>
  <c r="K14" i="37" s="1"/>
  <c r="G17" i="38"/>
  <c r="F14" i="37" s="1"/>
  <c r="F17" i="38"/>
  <c r="E14" i="37" s="1"/>
  <c r="N17" i="38"/>
  <c r="M14" i="37" s="1"/>
  <c r="H17" i="38"/>
  <c r="G14" i="37" s="1"/>
  <c r="I17" i="38"/>
  <c r="H14" i="37" s="1"/>
  <c r="C13" i="38"/>
  <c r="B10" i="37" s="1"/>
  <c r="K13" i="38"/>
  <c r="J10" i="37" s="1"/>
  <c r="D13" i="38"/>
  <c r="C10" i="37" s="1"/>
  <c r="L13" i="38"/>
  <c r="K10" i="37" s="1"/>
  <c r="J13" i="38"/>
  <c r="I10" i="37" s="1"/>
  <c r="H13" i="38"/>
  <c r="G10" i="37" s="1"/>
  <c r="G13" i="38"/>
  <c r="F10" i="37" s="1"/>
  <c r="F13" i="38"/>
  <c r="E10" i="37" s="1"/>
  <c r="N13" i="38"/>
  <c r="M10" i="37" s="1"/>
  <c r="I13" i="38"/>
  <c r="H10" i="37" s="1"/>
  <c r="E13" i="38"/>
  <c r="D10" i="37" s="1"/>
  <c r="M13" i="38"/>
  <c r="L10" i="37" s="1"/>
  <c r="I20" i="38"/>
  <c r="H17" i="37" s="1"/>
  <c r="J20" i="38"/>
  <c r="I17" i="37" s="1"/>
  <c r="G20" i="38"/>
  <c r="F17" i="37" s="1"/>
  <c r="E20" i="38"/>
  <c r="D17" i="37" s="1"/>
  <c r="H20" i="38"/>
  <c r="G17" i="37" s="1"/>
  <c r="D20" i="38"/>
  <c r="C17" i="37" s="1"/>
  <c r="L20" i="38"/>
  <c r="K17" i="37" s="1"/>
  <c r="F20" i="38"/>
  <c r="E17" i="37" s="1"/>
  <c r="N20" i="38"/>
  <c r="M17" i="37" s="1"/>
  <c r="C20" i="38"/>
  <c r="B17" i="37" s="1"/>
  <c r="K20" i="38"/>
  <c r="J17" i="37" s="1"/>
  <c r="M20" i="38"/>
  <c r="L17" i="37" s="1"/>
  <c r="C21" i="38"/>
  <c r="B18" i="37" s="1"/>
  <c r="K21" i="38"/>
  <c r="J18" i="37" s="1"/>
  <c r="D21" i="38"/>
  <c r="C18" i="37" s="1"/>
  <c r="L21" i="38"/>
  <c r="K18" i="37" s="1"/>
  <c r="G21" i="38"/>
  <c r="F18" i="37" s="1"/>
  <c r="F21" i="38"/>
  <c r="E18" i="37" s="1"/>
  <c r="N21" i="38"/>
  <c r="M18" i="37" s="1"/>
  <c r="J21" i="38"/>
  <c r="I18" i="37" s="1"/>
  <c r="E21" i="38"/>
  <c r="D18" i="37" s="1"/>
  <c r="M21" i="38"/>
  <c r="L18" i="37" s="1"/>
  <c r="H21" i="38"/>
  <c r="G18" i="37" s="1"/>
  <c r="I21" i="38"/>
  <c r="H18" i="37" s="1"/>
  <c r="F8" i="38"/>
  <c r="E5" i="37" s="1"/>
  <c r="N8" i="38"/>
  <c r="M5" i="37" s="1"/>
  <c r="E8" i="38"/>
  <c r="D5" i="37" s="1"/>
  <c r="C8" i="38"/>
  <c r="B5" i="37" s="1"/>
  <c r="K8" i="38"/>
  <c r="J5" i="37" s="1"/>
  <c r="D8" i="38"/>
  <c r="C5" i="37" s="1"/>
  <c r="L8" i="38"/>
  <c r="K5" i="37" s="1"/>
  <c r="H8" i="38"/>
  <c r="G5" i="37" s="1"/>
  <c r="M8" i="38"/>
  <c r="L5" i="37" s="1"/>
  <c r="J8" i="38"/>
  <c r="I5" i="37" s="1"/>
  <c r="G8" i="38"/>
  <c r="F5" i="37" s="1"/>
  <c r="I8" i="38"/>
  <c r="H5" i="37" s="1"/>
  <c r="N26" i="38"/>
  <c r="M23" i="37" s="1"/>
  <c r="D26" i="38"/>
  <c r="C23" i="37" s="1"/>
  <c r="L26" i="38"/>
  <c r="K23" i="37" s="1"/>
  <c r="G26" i="38"/>
  <c r="F23" i="37" s="1"/>
  <c r="F26" i="38"/>
  <c r="E23" i="37" s="1"/>
  <c r="J26" i="38"/>
  <c r="I23" i="37" s="1"/>
  <c r="C26" i="38"/>
  <c r="B23" i="37" s="1"/>
  <c r="K26" i="38"/>
  <c r="J23" i="37" s="1"/>
  <c r="H26" i="38"/>
  <c r="G23" i="37" s="1"/>
  <c r="I26" i="38"/>
  <c r="H23" i="37" s="1"/>
  <c r="M26" i="38"/>
  <c r="L23" i="37" s="1"/>
  <c r="E26" i="38"/>
  <c r="D23" i="37" s="1"/>
  <c r="B27" i="38"/>
  <c r="Q28" i="5"/>
  <c r="O28" i="4"/>
  <c r="P28" i="4"/>
  <c r="Q17" i="4" s="1"/>
  <c r="M28" i="4"/>
  <c r="N28" i="4" s="1"/>
  <c r="N28" i="8"/>
  <c r="L28" i="8"/>
  <c r="O11" i="58" l="1"/>
  <c r="O17" i="58"/>
  <c r="O12" i="58"/>
  <c r="O9" i="58"/>
  <c r="O15" i="58"/>
  <c r="O22" i="58"/>
  <c r="I29" i="73"/>
  <c r="J9" i="73"/>
  <c r="AA9" i="3" s="1"/>
  <c r="AA29" i="3" s="1"/>
  <c r="O19" i="58"/>
  <c r="O14" i="58"/>
  <c r="K4" i="58"/>
  <c r="L4" i="58"/>
  <c r="E4" i="58"/>
  <c r="M4" i="58"/>
  <c r="J4" i="58"/>
  <c r="H4" i="58"/>
  <c r="G4" i="58"/>
  <c r="I4" i="58"/>
  <c r="F4" i="58"/>
  <c r="N4" i="58"/>
  <c r="D4" i="58"/>
  <c r="C4" i="58"/>
  <c r="B24" i="58"/>
  <c r="O20" i="58"/>
  <c r="O21" i="58"/>
  <c r="O6" i="58"/>
  <c r="O10" i="58"/>
  <c r="O5" i="58"/>
  <c r="O16" i="58"/>
  <c r="O23" i="58"/>
  <c r="O7" i="58"/>
  <c r="O13" i="58"/>
  <c r="O8" i="58"/>
  <c r="O24" i="46"/>
  <c r="O24" i="57"/>
  <c r="T26" i="65"/>
  <c r="AL27" i="3" s="1"/>
  <c r="R26" i="65"/>
  <c r="S26" i="65" s="1"/>
  <c r="AM27" i="3" s="1"/>
  <c r="T27" i="65"/>
  <c r="R27" i="65"/>
  <c r="S27" i="65" s="1"/>
  <c r="AM28" i="3" s="1"/>
  <c r="Q18" i="65"/>
  <c r="Q9" i="65"/>
  <c r="Q23" i="65"/>
  <c r="Q16" i="65"/>
  <c r="Q12" i="65"/>
  <c r="Q10" i="65"/>
  <c r="P28" i="65"/>
  <c r="Q14" i="65"/>
  <c r="Q11" i="65"/>
  <c r="Q22" i="65"/>
  <c r="Q24" i="65"/>
  <c r="AM9" i="3"/>
  <c r="Q17" i="65"/>
  <c r="Q21" i="65"/>
  <c r="Q20" i="65"/>
  <c r="Q19" i="65"/>
  <c r="T8" i="65"/>
  <c r="Q13" i="65"/>
  <c r="Q25" i="65"/>
  <c r="Q15" i="65"/>
  <c r="O25" i="35"/>
  <c r="O15" i="35"/>
  <c r="O24" i="35"/>
  <c r="J12" i="35"/>
  <c r="N12" i="35"/>
  <c r="H12" i="35"/>
  <c r="G12" i="35"/>
  <c r="F12" i="35"/>
  <c r="M12" i="35"/>
  <c r="K12" i="35"/>
  <c r="C12" i="35"/>
  <c r="D12" i="35"/>
  <c r="E12" i="35"/>
  <c r="I12" i="35"/>
  <c r="L12" i="35"/>
  <c r="O17" i="35"/>
  <c r="O22" i="35"/>
  <c r="O21" i="35"/>
  <c r="O9" i="35"/>
  <c r="H16" i="35"/>
  <c r="J16" i="35"/>
  <c r="N16" i="35"/>
  <c r="M16" i="35"/>
  <c r="I16" i="35"/>
  <c r="E16" i="35"/>
  <c r="C16" i="35"/>
  <c r="D16" i="35"/>
  <c r="F16" i="35"/>
  <c r="G16" i="35"/>
  <c r="K16" i="35"/>
  <c r="L16" i="35"/>
  <c r="O10" i="35"/>
  <c r="H8" i="35"/>
  <c r="J8" i="35"/>
  <c r="N8" i="35"/>
  <c r="D8" i="35"/>
  <c r="M8" i="35"/>
  <c r="I8" i="35"/>
  <c r="G8" i="35"/>
  <c r="E8" i="35"/>
  <c r="K8" i="35"/>
  <c r="C8" i="35"/>
  <c r="L8" i="35"/>
  <c r="F8" i="35"/>
  <c r="O26" i="35"/>
  <c r="O14" i="35"/>
  <c r="H20" i="35"/>
  <c r="N20" i="35"/>
  <c r="J20" i="35"/>
  <c r="K20" i="35"/>
  <c r="D20" i="35"/>
  <c r="G20" i="35"/>
  <c r="E20" i="35"/>
  <c r="C20" i="35"/>
  <c r="L20" i="35"/>
  <c r="M20" i="35"/>
  <c r="I20" i="35"/>
  <c r="F20" i="35"/>
  <c r="O23" i="35"/>
  <c r="O19" i="35"/>
  <c r="H13" i="35"/>
  <c r="N13" i="35"/>
  <c r="J13" i="35"/>
  <c r="D13" i="35"/>
  <c r="G13" i="35"/>
  <c r="E13" i="35"/>
  <c r="K13" i="35"/>
  <c r="I13" i="35"/>
  <c r="F13" i="35"/>
  <c r="C13" i="35"/>
  <c r="M13" i="35"/>
  <c r="L13" i="35"/>
  <c r="O11" i="35"/>
  <c r="O18" i="35"/>
  <c r="Q23" i="4"/>
  <c r="Q21" i="4"/>
  <c r="Q19" i="4"/>
  <c r="Q10" i="4"/>
  <c r="Q16" i="4"/>
  <c r="Q11" i="4"/>
  <c r="R11" i="4" s="1"/>
  <c r="B7" i="68" s="1"/>
  <c r="L24" i="37"/>
  <c r="Q26" i="4"/>
  <c r="Q14" i="4"/>
  <c r="K24" i="37"/>
  <c r="L27" i="38"/>
  <c r="M27" i="38"/>
  <c r="N27" i="38"/>
  <c r="C27" i="38"/>
  <c r="Q8" i="4"/>
  <c r="M24" i="37"/>
  <c r="Q13" i="4"/>
  <c r="R13" i="4" s="1"/>
  <c r="B9" i="68" s="1"/>
  <c r="O26" i="38"/>
  <c r="N23" i="37"/>
  <c r="E27" i="38"/>
  <c r="O15" i="38"/>
  <c r="N12" i="37"/>
  <c r="G27" i="38"/>
  <c r="K27" i="38"/>
  <c r="N11" i="37"/>
  <c r="O14" i="38"/>
  <c r="G24" i="37"/>
  <c r="N17" i="37"/>
  <c r="O20" i="38"/>
  <c r="F27" i="38"/>
  <c r="N4" i="37"/>
  <c r="J27" i="38"/>
  <c r="N6" i="37"/>
  <c r="O9" i="38"/>
  <c r="O12" i="38"/>
  <c r="N9" i="37"/>
  <c r="H27" i="38"/>
  <c r="N18" i="37"/>
  <c r="O21" i="38"/>
  <c r="O13" i="38"/>
  <c r="N10" i="37"/>
  <c r="E24" i="37"/>
  <c r="N22" i="37"/>
  <c r="O25" i="38"/>
  <c r="N20" i="37"/>
  <c r="O23" i="38"/>
  <c r="I24" i="37"/>
  <c r="O19" i="38"/>
  <c r="N16" i="37"/>
  <c r="N7" i="37"/>
  <c r="O10" i="38"/>
  <c r="N15" i="37"/>
  <c r="O18" i="38"/>
  <c r="N13" i="37"/>
  <c r="O16" i="38"/>
  <c r="I27" i="38"/>
  <c r="C24" i="37"/>
  <c r="N5" i="37"/>
  <c r="O8" i="38"/>
  <c r="O17" i="38"/>
  <c r="N14" i="37"/>
  <c r="D24" i="37"/>
  <c r="O24" i="38"/>
  <c r="N21" i="37"/>
  <c r="F24" i="37"/>
  <c r="J24" i="37"/>
  <c r="H24" i="37"/>
  <c r="D27" i="38"/>
  <c r="N19" i="37"/>
  <c r="O22" i="38"/>
  <c r="O11" i="38"/>
  <c r="N8" i="37"/>
  <c r="Q27" i="4"/>
  <c r="R27" i="4" s="1"/>
  <c r="B23" i="68" s="1"/>
  <c r="Q18" i="4"/>
  <c r="R18" i="4" s="1"/>
  <c r="B14" i="68" s="1"/>
  <c r="Q22" i="4"/>
  <c r="Q12" i="4"/>
  <c r="Q15" i="4"/>
  <c r="Q25" i="4"/>
  <c r="R25" i="4" s="1"/>
  <c r="B21" i="68" s="1"/>
  <c r="Q24" i="4"/>
  <c r="Q20" i="4"/>
  <c r="Q9" i="4"/>
  <c r="R9" i="4" s="1"/>
  <c r="B5" i="68" s="1"/>
  <c r="R17" i="4"/>
  <c r="B13" i="68" s="1"/>
  <c r="O4" i="58" l="1"/>
  <c r="G10" i="13"/>
  <c r="H10" i="13" s="1"/>
  <c r="I10" i="13" s="1"/>
  <c r="AI12" i="3" s="1"/>
  <c r="G10" i="14"/>
  <c r="H10" i="14" s="1"/>
  <c r="G24" i="13"/>
  <c r="H24" i="13" s="1"/>
  <c r="G24" i="14"/>
  <c r="H24" i="14" s="1"/>
  <c r="G17" i="13"/>
  <c r="H17" i="13" s="1"/>
  <c r="G17" i="14"/>
  <c r="H17" i="14" s="1"/>
  <c r="G8" i="13"/>
  <c r="H8" i="13" s="1"/>
  <c r="G8" i="14"/>
  <c r="H8" i="14" s="1"/>
  <c r="G26" i="14"/>
  <c r="H26" i="14" s="1"/>
  <c r="G26" i="13"/>
  <c r="H26" i="13" s="1"/>
  <c r="I26" i="13" s="1"/>
  <c r="AI28" i="3" s="1"/>
  <c r="G12" i="13"/>
  <c r="H12" i="13" s="1"/>
  <c r="I12" i="13" s="1"/>
  <c r="AI14" i="3" s="1"/>
  <c r="G12" i="14"/>
  <c r="H12" i="14" s="1"/>
  <c r="G16" i="13"/>
  <c r="H16" i="13" s="1"/>
  <c r="I16" i="13" s="1"/>
  <c r="AI18" i="3" s="1"/>
  <c r="G16" i="14"/>
  <c r="H16" i="14" s="1"/>
  <c r="T25" i="65"/>
  <c r="AL26" i="3" s="1"/>
  <c r="R25" i="65"/>
  <c r="S25" i="65" s="1"/>
  <c r="AM26" i="3" s="1"/>
  <c r="AL28" i="3"/>
  <c r="T22" i="65"/>
  <c r="R22" i="65"/>
  <c r="S22" i="65" s="1"/>
  <c r="AM23" i="3" s="1"/>
  <c r="T14" i="65"/>
  <c r="AL15" i="3" s="1"/>
  <c r="R14" i="65"/>
  <c r="S14" i="65" s="1"/>
  <c r="AM15" i="3" s="1"/>
  <c r="T13" i="65"/>
  <c r="R13" i="65"/>
  <c r="S13" i="65" s="1"/>
  <c r="AM14" i="3" s="1"/>
  <c r="T21" i="65"/>
  <c r="R21" i="65"/>
  <c r="S21" i="65" s="1"/>
  <c r="AM22" i="3" s="1"/>
  <c r="T24" i="65"/>
  <c r="R24" i="65"/>
  <c r="S24" i="65" s="1"/>
  <c r="AM25" i="3" s="1"/>
  <c r="T12" i="65"/>
  <c r="R12" i="65"/>
  <c r="S12" i="65" s="1"/>
  <c r="AM13" i="3" s="1"/>
  <c r="T23" i="65"/>
  <c r="AL24" i="3" s="1"/>
  <c r="R23" i="65"/>
  <c r="S23" i="65" s="1"/>
  <c r="AM24" i="3" s="1"/>
  <c r="T15" i="65"/>
  <c r="AL16" i="3" s="1"/>
  <c r="R15" i="65"/>
  <c r="S15" i="65" s="1"/>
  <c r="AM16" i="3" s="1"/>
  <c r="T19" i="65"/>
  <c r="AL20" i="3" s="1"/>
  <c r="R19" i="65"/>
  <c r="S19" i="65" s="1"/>
  <c r="AM20" i="3" s="1"/>
  <c r="T11" i="65"/>
  <c r="AL12" i="3" s="1"/>
  <c r="R11" i="65"/>
  <c r="S11" i="65" s="1"/>
  <c r="AM12" i="3" s="1"/>
  <c r="T16" i="65"/>
  <c r="R16" i="65"/>
  <c r="S16" i="65" s="1"/>
  <c r="AM17" i="3" s="1"/>
  <c r="T9" i="65"/>
  <c r="R9" i="65"/>
  <c r="T18" i="65"/>
  <c r="AL19" i="3" s="1"/>
  <c r="R18" i="65"/>
  <c r="S18" i="65" s="1"/>
  <c r="AM19" i="3" s="1"/>
  <c r="T20" i="65"/>
  <c r="AL21" i="3" s="1"/>
  <c r="R20" i="65"/>
  <c r="S20" i="65" s="1"/>
  <c r="AM21" i="3" s="1"/>
  <c r="T17" i="65"/>
  <c r="R17" i="65"/>
  <c r="S17" i="65" s="1"/>
  <c r="AM18" i="3" s="1"/>
  <c r="T10" i="65"/>
  <c r="AL11" i="3" s="1"/>
  <c r="R10" i="65"/>
  <c r="S10" i="65" s="1"/>
  <c r="AM11" i="3" s="1"/>
  <c r="R21" i="4"/>
  <c r="B17" i="68" s="1"/>
  <c r="Q28" i="65"/>
  <c r="AL9" i="3"/>
  <c r="L23" i="68"/>
  <c r="E23" i="68"/>
  <c r="M23" i="68"/>
  <c r="F23" i="68"/>
  <c r="G23" i="68"/>
  <c r="K23" i="68"/>
  <c r="H23" i="68"/>
  <c r="J23" i="68"/>
  <c r="N23" i="68"/>
  <c r="D23" i="68"/>
  <c r="C23" i="68"/>
  <c r="I23" i="68"/>
  <c r="O20" i="35"/>
  <c r="N7" i="35"/>
  <c r="J7" i="35"/>
  <c r="H7" i="35"/>
  <c r="I7" i="35"/>
  <c r="L7" i="35"/>
  <c r="D7" i="35"/>
  <c r="M7" i="35"/>
  <c r="G7" i="35"/>
  <c r="C7" i="35"/>
  <c r="K7" i="35"/>
  <c r="F7" i="35"/>
  <c r="E7" i="35"/>
  <c r="O13" i="35"/>
  <c r="O8" i="35"/>
  <c r="O12" i="35"/>
  <c r="O16" i="35"/>
  <c r="R10" i="4"/>
  <c r="R14" i="4"/>
  <c r="B10" i="68" s="1"/>
  <c r="R16" i="4"/>
  <c r="B12" i="68" s="1"/>
  <c r="R23" i="4"/>
  <c r="B19" i="68" s="1"/>
  <c r="R19" i="4"/>
  <c r="B15" i="68" s="1"/>
  <c r="R26" i="4"/>
  <c r="B22" i="68" s="1"/>
  <c r="D22" i="68" s="1"/>
  <c r="R8" i="4"/>
  <c r="B4" i="68" s="1"/>
  <c r="O27" i="38"/>
  <c r="B24" i="37"/>
  <c r="N24" i="37" s="1"/>
  <c r="R20" i="4"/>
  <c r="B16" i="68" s="1"/>
  <c r="R22" i="4"/>
  <c r="B18" i="68" s="1"/>
  <c r="R12" i="4"/>
  <c r="B8" i="68" s="1"/>
  <c r="Q28" i="4"/>
  <c r="R24" i="4"/>
  <c r="B20" i="68" s="1"/>
  <c r="R15" i="4"/>
  <c r="B11" i="68" s="1"/>
  <c r="U17" i="4"/>
  <c r="S17" i="4"/>
  <c r="T17" i="4" s="1"/>
  <c r="T18" i="3" s="1"/>
  <c r="AF18" i="3"/>
  <c r="AH18" i="3"/>
  <c r="U25" i="4"/>
  <c r="S25" i="4"/>
  <c r="T25" i="4" s="1"/>
  <c r="T26" i="3" s="1"/>
  <c r="AF26" i="3"/>
  <c r="AH26" i="3"/>
  <c r="U13" i="4"/>
  <c r="S13" i="4"/>
  <c r="T13" i="4" s="1"/>
  <c r="T14" i="3" s="1"/>
  <c r="AH14" i="3"/>
  <c r="AF14" i="3"/>
  <c r="U18" i="4"/>
  <c r="S18" i="4"/>
  <c r="T18" i="4" s="1"/>
  <c r="T19" i="3" s="1"/>
  <c r="AF19" i="3"/>
  <c r="AH19" i="3"/>
  <c r="U27" i="4"/>
  <c r="S27" i="4"/>
  <c r="T27" i="4" s="1"/>
  <c r="T28" i="3" s="1"/>
  <c r="AF28" i="3"/>
  <c r="AH28" i="3"/>
  <c r="U11" i="4"/>
  <c r="S11" i="4"/>
  <c r="T11" i="4" s="1"/>
  <c r="T12" i="3" s="1"/>
  <c r="AF12" i="3"/>
  <c r="AH12" i="3"/>
  <c r="U9" i="4"/>
  <c r="S9" i="4"/>
  <c r="T9" i="4" s="1"/>
  <c r="T10" i="3" s="1"/>
  <c r="AF10" i="3"/>
  <c r="AH10" i="3"/>
  <c r="AE29" i="3"/>
  <c r="W29" i="3"/>
  <c r="I29" i="3"/>
  <c r="J25" i="3" s="1"/>
  <c r="K25" i="3" s="1"/>
  <c r="E29" i="3"/>
  <c r="D23" i="3" s="1"/>
  <c r="F23" i="3" s="1"/>
  <c r="G23" i="3" s="1"/>
  <c r="H23" i="3" s="1"/>
  <c r="B29" i="3"/>
  <c r="C28" i="3"/>
  <c r="C27" i="3"/>
  <c r="C26" i="3"/>
  <c r="C25" i="3"/>
  <c r="C24" i="3"/>
  <c r="C23" i="3"/>
  <c r="C22" i="3"/>
  <c r="C21" i="3"/>
  <c r="C20" i="3"/>
  <c r="N22" i="68" l="1"/>
  <c r="M22" i="68"/>
  <c r="L22" i="68"/>
  <c r="U10" i="4"/>
  <c r="B6" i="33" s="1"/>
  <c r="B6" i="68"/>
  <c r="K22" i="68"/>
  <c r="J22" i="68"/>
  <c r="H22" i="68"/>
  <c r="I22" i="68"/>
  <c r="E22" i="68"/>
  <c r="G22" i="68"/>
  <c r="C22" i="68"/>
  <c r="F22" i="68"/>
  <c r="H15" i="68"/>
  <c r="AL14" i="3"/>
  <c r="G10" i="68"/>
  <c r="N6" i="68"/>
  <c r="AL13" i="3"/>
  <c r="K8" i="14"/>
  <c r="M8" i="14" s="1"/>
  <c r="AL10" i="3"/>
  <c r="I11" i="68"/>
  <c r="K16" i="14"/>
  <c r="M16" i="14" s="1"/>
  <c r="AL25" i="3"/>
  <c r="AL17" i="3"/>
  <c r="I21" i="68"/>
  <c r="K10" i="14"/>
  <c r="M10" i="14" s="1"/>
  <c r="AL22" i="3"/>
  <c r="F16" i="68"/>
  <c r="AF24" i="3"/>
  <c r="G22" i="13"/>
  <c r="H22" i="13" s="1"/>
  <c r="I22" i="13" s="1"/>
  <c r="AI24" i="3" s="1"/>
  <c r="G22" i="14"/>
  <c r="AH22" i="3"/>
  <c r="G20" i="13"/>
  <c r="H20" i="13" s="1"/>
  <c r="I20" i="13" s="1"/>
  <c r="AI22" i="3" s="1"/>
  <c r="G20" i="14"/>
  <c r="U15" i="4"/>
  <c r="B11" i="33" s="1"/>
  <c r="G14" i="13"/>
  <c r="H14" i="13" s="1"/>
  <c r="I14" i="13" s="1"/>
  <c r="AI16" i="3" s="1"/>
  <c r="G14" i="14"/>
  <c r="U22" i="4"/>
  <c r="B21" i="51" s="1"/>
  <c r="G21" i="13"/>
  <c r="H21" i="13" s="1"/>
  <c r="I21" i="13" s="1"/>
  <c r="AI23" i="3" s="1"/>
  <c r="G21" i="14"/>
  <c r="S26" i="4"/>
  <c r="T26" i="4" s="1"/>
  <c r="T27" i="3" s="1"/>
  <c r="G25" i="13"/>
  <c r="H25" i="13" s="1"/>
  <c r="I25" i="13" s="1"/>
  <c r="AI27" i="3" s="1"/>
  <c r="G25" i="14"/>
  <c r="S16" i="4"/>
  <c r="T16" i="4" s="1"/>
  <c r="T17" i="3" s="1"/>
  <c r="G15" i="13"/>
  <c r="H15" i="13" s="1"/>
  <c r="I15" i="13" s="1"/>
  <c r="AI17" i="3" s="1"/>
  <c r="G15" i="14"/>
  <c r="AF25" i="3"/>
  <c r="G23" i="13"/>
  <c r="H23" i="13" s="1"/>
  <c r="I23" i="13" s="1"/>
  <c r="AI25" i="3" s="1"/>
  <c r="G23" i="14"/>
  <c r="U12" i="4"/>
  <c r="B11" i="51" s="1"/>
  <c r="G11" i="13"/>
  <c r="H11" i="13" s="1"/>
  <c r="I11" i="13" s="1"/>
  <c r="AI13" i="3" s="1"/>
  <c r="G11" i="14"/>
  <c r="AH15" i="3"/>
  <c r="G13" i="13"/>
  <c r="H13" i="13" s="1"/>
  <c r="I13" i="13" s="1"/>
  <c r="AI15" i="3" s="1"/>
  <c r="G13" i="14"/>
  <c r="AH21" i="3"/>
  <c r="G19" i="13"/>
  <c r="H19" i="13" s="1"/>
  <c r="I19" i="13" s="1"/>
  <c r="AI21" i="3" s="1"/>
  <c r="G19" i="14"/>
  <c r="U8" i="4"/>
  <c r="B4" i="62" s="1"/>
  <c r="G7" i="13"/>
  <c r="G7" i="14"/>
  <c r="U19" i="4"/>
  <c r="B18" i="51" s="1"/>
  <c r="G18" i="13"/>
  <c r="H18" i="13" s="1"/>
  <c r="I18" i="13" s="1"/>
  <c r="AI20" i="3" s="1"/>
  <c r="G18" i="14"/>
  <c r="H18" i="14" s="1"/>
  <c r="S10" i="4"/>
  <c r="T10" i="4" s="1"/>
  <c r="T11" i="3" s="1"/>
  <c r="G9" i="13"/>
  <c r="H9" i="13" s="1"/>
  <c r="I9" i="13" s="1"/>
  <c r="AI11" i="3" s="1"/>
  <c r="G9" i="14"/>
  <c r="M14" i="68"/>
  <c r="AL18" i="3"/>
  <c r="AL23" i="3"/>
  <c r="T28" i="65"/>
  <c r="R28" i="65"/>
  <c r="S9" i="65"/>
  <c r="S14" i="4"/>
  <c r="T14" i="4" s="1"/>
  <c r="T15" i="3" s="1"/>
  <c r="U21" i="4"/>
  <c r="B17" i="33" s="1"/>
  <c r="AF15" i="3"/>
  <c r="S21" i="4"/>
  <c r="T21" i="4" s="1"/>
  <c r="T22" i="3" s="1"/>
  <c r="U16" i="4"/>
  <c r="B12" i="62" s="1"/>
  <c r="AF22" i="3"/>
  <c r="AH17" i="3"/>
  <c r="S23" i="4"/>
  <c r="T23" i="4" s="1"/>
  <c r="T24" i="3" s="1"/>
  <c r="AH27" i="3"/>
  <c r="K12" i="68"/>
  <c r="G12" i="68"/>
  <c r="J12" i="68"/>
  <c r="I12" i="68"/>
  <c r="E12" i="68"/>
  <c r="N12" i="68"/>
  <c r="M12" i="68"/>
  <c r="H12" i="68"/>
  <c r="C12" i="68"/>
  <c r="F12" i="68"/>
  <c r="L12" i="68"/>
  <c r="D12" i="68"/>
  <c r="K18" i="68"/>
  <c r="H18" i="68"/>
  <c r="J18" i="68"/>
  <c r="C18" i="68"/>
  <c r="N18" i="68"/>
  <c r="G18" i="68"/>
  <c r="E18" i="68"/>
  <c r="F18" i="68"/>
  <c r="M18" i="68"/>
  <c r="I18" i="68"/>
  <c r="D18" i="68"/>
  <c r="L18" i="68"/>
  <c r="F19" i="68"/>
  <c r="E19" i="68"/>
  <c r="J19" i="68"/>
  <c r="M19" i="68"/>
  <c r="N19" i="68"/>
  <c r="L19" i="68"/>
  <c r="K19" i="68"/>
  <c r="H19" i="68"/>
  <c r="C19" i="68"/>
  <c r="I19" i="68"/>
  <c r="G19" i="68"/>
  <c r="D19" i="68"/>
  <c r="K7" i="68"/>
  <c r="M7" i="68"/>
  <c r="E7" i="68"/>
  <c r="J7" i="68"/>
  <c r="D7" i="68"/>
  <c r="F7" i="68"/>
  <c r="I7" i="68"/>
  <c r="H7" i="68"/>
  <c r="L7" i="68"/>
  <c r="C7" i="68"/>
  <c r="G7" i="68"/>
  <c r="N7" i="68"/>
  <c r="H4" i="68"/>
  <c r="L4" i="68"/>
  <c r="G4" i="68"/>
  <c r="F4" i="68"/>
  <c r="M4" i="68"/>
  <c r="N4" i="68"/>
  <c r="I4" i="68"/>
  <c r="C4" i="68"/>
  <c r="J4" i="68"/>
  <c r="K4" i="68"/>
  <c r="E4" i="68"/>
  <c r="D4" i="68"/>
  <c r="N20" i="68"/>
  <c r="M20" i="68"/>
  <c r="F20" i="68"/>
  <c r="L20" i="68"/>
  <c r="K20" i="68"/>
  <c r="E20" i="68"/>
  <c r="J20" i="68"/>
  <c r="G20" i="68"/>
  <c r="C20" i="68"/>
  <c r="I20" i="68"/>
  <c r="H20" i="68"/>
  <c r="D20" i="68"/>
  <c r="O23" i="68"/>
  <c r="I5" i="68"/>
  <c r="E5" i="68"/>
  <c r="H5" i="68"/>
  <c r="M5" i="68"/>
  <c r="K5" i="68"/>
  <c r="G5" i="68"/>
  <c r="F5" i="68"/>
  <c r="L5" i="68"/>
  <c r="D5" i="68"/>
  <c r="N5" i="68"/>
  <c r="J5" i="68"/>
  <c r="C5" i="68"/>
  <c r="M10" i="68"/>
  <c r="J10" i="68"/>
  <c r="N17" i="68"/>
  <c r="G17" i="68"/>
  <c r="M17" i="68"/>
  <c r="F17" i="68"/>
  <c r="H17" i="68"/>
  <c r="I17" i="68"/>
  <c r="E17" i="68"/>
  <c r="K17" i="68"/>
  <c r="C17" i="68"/>
  <c r="L17" i="68"/>
  <c r="J17" i="68"/>
  <c r="D17" i="68"/>
  <c r="L9" i="68"/>
  <c r="J9" i="68"/>
  <c r="M9" i="68"/>
  <c r="G9" i="68"/>
  <c r="E9" i="68"/>
  <c r="K9" i="68"/>
  <c r="H9" i="68"/>
  <c r="F9" i="68"/>
  <c r="D9" i="68"/>
  <c r="I9" i="68"/>
  <c r="N9" i="68"/>
  <c r="C9" i="68"/>
  <c r="I15" i="68"/>
  <c r="F15" i="68"/>
  <c r="O22" i="68"/>
  <c r="F8" i="68"/>
  <c r="N8" i="68"/>
  <c r="I8" i="68"/>
  <c r="L8" i="68"/>
  <c r="G8" i="68"/>
  <c r="M8" i="68"/>
  <c r="D8" i="68"/>
  <c r="E8" i="68"/>
  <c r="J8" i="68"/>
  <c r="C8" i="68"/>
  <c r="K8" i="68"/>
  <c r="H8" i="68"/>
  <c r="J13" i="68"/>
  <c r="H13" i="68"/>
  <c r="D13" i="68"/>
  <c r="E13" i="68"/>
  <c r="I13" i="68"/>
  <c r="F13" i="68"/>
  <c r="N13" i="68"/>
  <c r="C13" i="68"/>
  <c r="L13" i="68"/>
  <c r="M13" i="68"/>
  <c r="K13" i="68"/>
  <c r="G13" i="68"/>
  <c r="U14" i="4"/>
  <c r="B13" i="51" s="1"/>
  <c r="AF17" i="3"/>
  <c r="K17" i="14"/>
  <c r="M17" i="14" s="1"/>
  <c r="O7" i="35"/>
  <c r="AH9" i="3"/>
  <c r="I8" i="13"/>
  <c r="AI10" i="3" s="1"/>
  <c r="AF11" i="3"/>
  <c r="AH11" i="3"/>
  <c r="AF20" i="3"/>
  <c r="AH24" i="3"/>
  <c r="U26" i="4"/>
  <c r="B25" i="51" s="1"/>
  <c r="U23" i="4"/>
  <c r="B22" i="51" s="1"/>
  <c r="AF27" i="3"/>
  <c r="AH20" i="3"/>
  <c r="S19" i="4"/>
  <c r="T19" i="4" s="1"/>
  <c r="T20" i="3" s="1"/>
  <c r="S20" i="4"/>
  <c r="T20" i="4" s="1"/>
  <c r="T21" i="3" s="1"/>
  <c r="K12" i="14"/>
  <c r="M12" i="14" s="1"/>
  <c r="U24" i="4"/>
  <c r="B20" i="62" s="1"/>
  <c r="S22" i="4"/>
  <c r="T22" i="4" s="1"/>
  <c r="T23" i="3" s="1"/>
  <c r="AF21" i="3"/>
  <c r="U20" i="4"/>
  <c r="B19" i="51" s="1"/>
  <c r="AF9" i="3"/>
  <c r="S8" i="4"/>
  <c r="T8" i="4" s="1"/>
  <c r="T9" i="3" s="1"/>
  <c r="K26" i="14"/>
  <c r="M26" i="14" s="1"/>
  <c r="D21" i="3"/>
  <c r="F21" i="3" s="1"/>
  <c r="G21" i="3" s="1"/>
  <c r="H21" i="3" s="1"/>
  <c r="D25" i="3"/>
  <c r="F25" i="3" s="1"/>
  <c r="G25" i="3" s="1"/>
  <c r="H25" i="3" s="1"/>
  <c r="J28" i="3"/>
  <c r="K28" i="3" s="1"/>
  <c r="L28" i="3" s="1"/>
  <c r="S10" i="3"/>
  <c r="B5" i="33"/>
  <c r="B5" i="62"/>
  <c r="B8" i="51"/>
  <c r="S12" i="3"/>
  <c r="B7" i="33"/>
  <c r="B7" i="62"/>
  <c r="B10" i="51"/>
  <c r="S28" i="3"/>
  <c r="B23" i="33"/>
  <c r="B23" i="62"/>
  <c r="B26" i="51"/>
  <c r="S14" i="3"/>
  <c r="B9" i="33"/>
  <c r="B9" i="62"/>
  <c r="B12" i="51"/>
  <c r="S26" i="3"/>
  <c r="B21" i="33"/>
  <c r="B21" i="62"/>
  <c r="B24" i="51"/>
  <c r="S18" i="3"/>
  <c r="B13" i="33"/>
  <c r="B13" i="62"/>
  <c r="B16" i="51"/>
  <c r="S11" i="3"/>
  <c r="S19" i="3"/>
  <c r="B14" i="33"/>
  <c r="B14" i="62"/>
  <c r="B17" i="51"/>
  <c r="I17" i="13"/>
  <c r="AI19" i="3" s="1"/>
  <c r="AH13" i="3"/>
  <c r="AH25" i="3"/>
  <c r="S24" i="4"/>
  <c r="T24" i="4" s="1"/>
  <c r="T25" i="3" s="1"/>
  <c r="AH23" i="3"/>
  <c r="R28" i="4"/>
  <c r="U28" i="4" s="1"/>
  <c r="AF13" i="3"/>
  <c r="AF23" i="3"/>
  <c r="K24" i="14"/>
  <c r="M24" i="14" s="1"/>
  <c r="S12" i="4"/>
  <c r="T12" i="4" s="1"/>
  <c r="T13" i="3" s="1"/>
  <c r="I24" i="13"/>
  <c r="AI26" i="3" s="1"/>
  <c r="AF16" i="3"/>
  <c r="AH16" i="3"/>
  <c r="S15" i="4"/>
  <c r="T15" i="4" s="1"/>
  <c r="T16" i="3" s="1"/>
  <c r="J20" i="3"/>
  <c r="K20" i="3" s="1"/>
  <c r="L20" i="3" s="1"/>
  <c r="J21" i="3"/>
  <c r="K21" i="3" s="1"/>
  <c r="N21" i="3" s="1"/>
  <c r="O21" i="3" s="1"/>
  <c r="J24" i="3"/>
  <c r="K24" i="3" s="1"/>
  <c r="L24" i="3" s="1"/>
  <c r="J27" i="3"/>
  <c r="K27" i="3" s="1"/>
  <c r="J22" i="3"/>
  <c r="K22" i="3" s="1"/>
  <c r="L22" i="3" s="1"/>
  <c r="J23" i="3"/>
  <c r="K23" i="3" s="1"/>
  <c r="N23" i="3" s="1"/>
  <c r="O23" i="3" s="1"/>
  <c r="J26" i="3"/>
  <c r="K26" i="3" s="1"/>
  <c r="L26" i="3" s="1"/>
  <c r="D9" i="3"/>
  <c r="D11" i="3"/>
  <c r="F11" i="3" s="1"/>
  <c r="G11" i="3" s="1"/>
  <c r="H11" i="3" s="1"/>
  <c r="D13" i="3"/>
  <c r="F13" i="3" s="1"/>
  <c r="G13" i="3" s="1"/>
  <c r="H13" i="3" s="1"/>
  <c r="D15" i="3"/>
  <c r="F15" i="3" s="1"/>
  <c r="G15" i="3" s="1"/>
  <c r="H15" i="3" s="1"/>
  <c r="D17" i="3"/>
  <c r="F17" i="3" s="1"/>
  <c r="G17" i="3" s="1"/>
  <c r="H17" i="3" s="1"/>
  <c r="D19" i="3"/>
  <c r="F19" i="3" s="1"/>
  <c r="G19" i="3" s="1"/>
  <c r="H19" i="3" s="1"/>
  <c r="D10" i="3"/>
  <c r="F10" i="3" s="1"/>
  <c r="G10" i="3" s="1"/>
  <c r="H10" i="3" s="1"/>
  <c r="D12" i="3"/>
  <c r="F12" i="3" s="1"/>
  <c r="G12" i="3" s="1"/>
  <c r="H12" i="3" s="1"/>
  <c r="D14" i="3"/>
  <c r="F14" i="3" s="1"/>
  <c r="G14" i="3" s="1"/>
  <c r="H14" i="3" s="1"/>
  <c r="D16" i="3"/>
  <c r="F16" i="3" s="1"/>
  <c r="G16" i="3" s="1"/>
  <c r="H16" i="3" s="1"/>
  <c r="D18" i="3"/>
  <c r="F18" i="3" s="1"/>
  <c r="G18" i="3" s="1"/>
  <c r="H18" i="3" s="1"/>
  <c r="D22" i="3"/>
  <c r="F22" i="3" s="1"/>
  <c r="G22" i="3" s="1"/>
  <c r="H22" i="3" s="1"/>
  <c r="D26" i="3"/>
  <c r="F26" i="3" s="1"/>
  <c r="G26" i="3" s="1"/>
  <c r="H26" i="3" s="1"/>
  <c r="J9" i="3"/>
  <c r="J10" i="3"/>
  <c r="K10" i="3" s="1"/>
  <c r="J11" i="3"/>
  <c r="K11" i="3" s="1"/>
  <c r="J12" i="3"/>
  <c r="K12" i="3" s="1"/>
  <c r="J13" i="3"/>
  <c r="K13" i="3" s="1"/>
  <c r="J14" i="3"/>
  <c r="K14" i="3" s="1"/>
  <c r="J15" i="3"/>
  <c r="K15" i="3" s="1"/>
  <c r="J16" i="3"/>
  <c r="K16" i="3" s="1"/>
  <c r="J17" i="3"/>
  <c r="K17" i="3" s="1"/>
  <c r="J18" i="3"/>
  <c r="K18" i="3" s="1"/>
  <c r="J19" i="3"/>
  <c r="K19" i="3" s="1"/>
  <c r="D27" i="3"/>
  <c r="F27" i="3" s="1"/>
  <c r="G27" i="3" s="1"/>
  <c r="H27" i="3" s="1"/>
  <c r="D20" i="3"/>
  <c r="F20" i="3" s="1"/>
  <c r="G20" i="3" s="1"/>
  <c r="H20" i="3" s="1"/>
  <c r="M20" i="3" s="1"/>
  <c r="D24" i="3"/>
  <c r="F24" i="3" s="1"/>
  <c r="G24" i="3" s="1"/>
  <c r="H24" i="3" s="1"/>
  <c r="D28" i="3"/>
  <c r="F28" i="3" s="1"/>
  <c r="G28" i="3" s="1"/>
  <c r="H28" i="3" s="1"/>
  <c r="C29" i="3"/>
  <c r="N20" i="3"/>
  <c r="O20" i="3" s="1"/>
  <c r="L21" i="3"/>
  <c r="N22" i="3"/>
  <c r="O22" i="3" s="1"/>
  <c r="L25" i="3"/>
  <c r="B9" i="51" l="1"/>
  <c r="B6" i="62"/>
  <c r="N27" i="3"/>
  <c r="O27" i="3" s="1"/>
  <c r="N15" i="68"/>
  <c r="L15" i="68"/>
  <c r="M15" i="68"/>
  <c r="K15" i="68"/>
  <c r="N10" i="68"/>
  <c r="I10" i="68"/>
  <c r="C16" i="68"/>
  <c r="F10" i="68"/>
  <c r="L10" i="68"/>
  <c r="N21" i="68"/>
  <c r="D15" i="68"/>
  <c r="J15" i="68"/>
  <c r="E15" i="68"/>
  <c r="C15" i="68"/>
  <c r="G15" i="68"/>
  <c r="C21" i="68"/>
  <c r="D11" i="68"/>
  <c r="F6" i="68"/>
  <c r="J21" i="68"/>
  <c r="M11" i="68"/>
  <c r="G11" i="68"/>
  <c r="C6" i="68"/>
  <c r="D6" i="68"/>
  <c r="F21" i="68"/>
  <c r="L11" i="68"/>
  <c r="N11" i="68"/>
  <c r="D10" i="68"/>
  <c r="E10" i="68"/>
  <c r="K10" i="68"/>
  <c r="J6" i="68"/>
  <c r="M6" i="68"/>
  <c r="E21" i="68"/>
  <c r="K21" i="68"/>
  <c r="J11" i="68"/>
  <c r="C10" i="68"/>
  <c r="H10" i="68"/>
  <c r="G6" i="68"/>
  <c r="B15" i="62"/>
  <c r="D15" i="62" s="1"/>
  <c r="L21" i="68"/>
  <c r="M21" i="68"/>
  <c r="H21" i="68"/>
  <c r="C11" i="68"/>
  <c r="F11" i="68"/>
  <c r="E11" i="68"/>
  <c r="I6" i="68"/>
  <c r="K6" i="68"/>
  <c r="E6" i="68"/>
  <c r="D21" i="68"/>
  <c r="G21" i="68"/>
  <c r="K11" i="68"/>
  <c r="H11" i="68"/>
  <c r="L6" i="68"/>
  <c r="H6" i="68"/>
  <c r="B8" i="62"/>
  <c r="D8" i="62" s="1"/>
  <c r="B14" i="51"/>
  <c r="N14" i="51" s="1"/>
  <c r="S16" i="3"/>
  <c r="B7" i="51"/>
  <c r="I7" i="51" s="1"/>
  <c r="S9" i="3"/>
  <c r="L14" i="68"/>
  <c r="I16" i="68"/>
  <c r="G16" i="68"/>
  <c r="D16" i="68"/>
  <c r="J16" i="68"/>
  <c r="N16" i="68"/>
  <c r="D14" i="68"/>
  <c r="B11" i="62"/>
  <c r="L11" i="62" s="1"/>
  <c r="B4" i="33"/>
  <c r="J4" i="33" s="1"/>
  <c r="S15" i="3"/>
  <c r="E16" i="68"/>
  <c r="H16" i="68"/>
  <c r="M16" i="68"/>
  <c r="B18" i="62"/>
  <c r="K18" i="62" s="1"/>
  <c r="K18" i="14"/>
  <c r="M18" i="14" s="1"/>
  <c r="K16" i="68"/>
  <c r="L16" i="68"/>
  <c r="B18" i="33"/>
  <c r="M18" i="33" s="1"/>
  <c r="B8" i="33"/>
  <c r="N8" i="33" s="1"/>
  <c r="B15" i="33"/>
  <c r="J15" i="33" s="1"/>
  <c r="S23" i="3"/>
  <c r="S13" i="3"/>
  <c r="S20" i="3"/>
  <c r="F14" i="68"/>
  <c r="H11" i="14"/>
  <c r="K11" i="14"/>
  <c r="M11" i="14" s="1"/>
  <c r="J14" i="68"/>
  <c r="E14" i="68"/>
  <c r="H14" i="68"/>
  <c r="H9" i="14"/>
  <c r="K9" i="14"/>
  <c r="M9" i="14" s="1"/>
  <c r="H13" i="14"/>
  <c r="K13" i="14"/>
  <c r="M13" i="14" s="1"/>
  <c r="H25" i="14"/>
  <c r="K25" i="14"/>
  <c r="M25" i="14" s="1"/>
  <c r="H22" i="14"/>
  <c r="K22" i="14"/>
  <c r="M22" i="14" s="1"/>
  <c r="G27" i="13"/>
  <c r="H7" i="13"/>
  <c r="H27" i="13" s="1"/>
  <c r="H21" i="14"/>
  <c r="K21" i="14"/>
  <c r="M21" i="14" s="1"/>
  <c r="B24" i="68"/>
  <c r="N14" i="68"/>
  <c r="G14" i="68"/>
  <c r="H19" i="14"/>
  <c r="K19" i="14"/>
  <c r="M19" i="14" s="1"/>
  <c r="H15" i="14"/>
  <c r="K15" i="14"/>
  <c r="M15" i="14" s="1"/>
  <c r="H20" i="14"/>
  <c r="K20" i="14"/>
  <c r="M20" i="14" s="1"/>
  <c r="K14" i="68"/>
  <c r="I14" i="68"/>
  <c r="C14" i="68"/>
  <c r="G27" i="14"/>
  <c r="K27" i="14" s="1"/>
  <c r="H7" i="14"/>
  <c r="K7" i="14"/>
  <c r="M7" i="14" s="1"/>
  <c r="M27" i="14" s="1"/>
  <c r="H23" i="14"/>
  <c r="K23" i="14"/>
  <c r="M23" i="14" s="1"/>
  <c r="H14" i="14"/>
  <c r="K14" i="14"/>
  <c r="M14" i="14" s="1"/>
  <c r="L27" i="3"/>
  <c r="N25" i="3"/>
  <c r="O25" i="3" s="1"/>
  <c r="AL29" i="3"/>
  <c r="AM10" i="3"/>
  <c r="AM29" i="3" s="1"/>
  <c r="S28" i="65"/>
  <c r="B17" i="62"/>
  <c r="J17" i="62" s="1"/>
  <c r="S22" i="3"/>
  <c r="S17" i="3"/>
  <c r="B20" i="51"/>
  <c r="H20" i="51" s="1"/>
  <c r="S24" i="3"/>
  <c r="B15" i="51"/>
  <c r="H15" i="51" s="1"/>
  <c r="B12" i="33"/>
  <c r="E12" i="33" s="1"/>
  <c r="S27" i="3"/>
  <c r="B10" i="62"/>
  <c r="M10" i="62" s="1"/>
  <c r="B10" i="33"/>
  <c r="H10" i="33" s="1"/>
  <c r="O9" i="68"/>
  <c r="O5" i="68"/>
  <c r="O20" i="68"/>
  <c r="O18" i="68"/>
  <c r="O8" i="68"/>
  <c r="O7" i="68"/>
  <c r="O4" i="68"/>
  <c r="O19" i="68"/>
  <c r="O13" i="68"/>
  <c r="O17" i="68"/>
  <c r="O12" i="68"/>
  <c r="M25" i="3"/>
  <c r="M28" i="3"/>
  <c r="B19" i="33"/>
  <c r="J19" i="33" s="1"/>
  <c r="B22" i="62"/>
  <c r="H22" i="62" s="1"/>
  <c r="B22" i="33"/>
  <c r="K22" i="33" s="1"/>
  <c r="B19" i="62"/>
  <c r="E19" i="62" s="1"/>
  <c r="B23" i="51"/>
  <c r="E23" i="51" s="1"/>
  <c r="B20" i="33"/>
  <c r="D20" i="33" s="1"/>
  <c r="B16" i="33"/>
  <c r="F16" i="33" s="1"/>
  <c r="S25" i="3"/>
  <c r="B16" i="62"/>
  <c r="H16" i="62" s="1"/>
  <c r="S21" i="3"/>
  <c r="N26" i="3"/>
  <c r="O26" i="3" s="1"/>
  <c r="M21" i="3"/>
  <c r="L23" i="3"/>
  <c r="M23" i="3" s="1"/>
  <c r="C21" i="51"/>
  <c r="K21" i="51"/>
  <c r="L21" i="51"/>
  <c r="H21" i="51"/>
  <c r="G21" i="51"/>
  <c r="D21" i="51"/>
  <c r="F21" i="51"/>
  <c r="M21" i="51"/>
  <c r="N21" i="51"/>
  <c r="I21" i="51"/>
  <c r="E21" i="51"/>
  <c r="J21" i="51"/>
  <c r="I11" i="51"/>
  <c r="E11" i="51"/>
  <c r="L11" i="51"/>
  <c r="D11" i="51"/>
  <c r="C11" i="51"/>
  <c r="G11" i="51"/>
  <c r="K11" i="51"/>
  <c r="F11" i="51"/>
  <c r="H11" i="51"/>
  <c r="M11" i="51"/>
  <c r="N11" i="51"/>
  <c r="J11" i="51"/>
  <c r="F17" i="51"/>
  <c r="L17" i="51"/>
  <c r="H17" i="51"/>
  <c r="C17" i="51"/>
  <c r="G17" i="51"/>
  <c r="M17" i="51"/>
  <c r="N17" i="51"/>
  <c r="I17" i="51"/>
  <c r="D17" i="51"/>
  <c r="E17" i="51"/>
  <c r="K17" i="51"/>
  <c r="J17" i="51"/>
  <c r="J14" i="51"/>
  <c r="N22" i="51"/>
  <c r="F22" i="51"/>
  <c r="H22" i="51"/>
  <c r="I22" i="51"/>
  <c r="D22" i="51"/>
  <c r="G22" i="51"/>
  <c r="K22" i="51"/>
  <c r="L22" i="51"/>
  <c r="M22" i="51"/>
  <c r="E22" i="51"/>
  <c r="C22" i="51"/>
  <c r="J22" i="51"/>
  <c r="E19" i="51"/>
  <c r="I19" i="51"/>
  <c r="N19" i="51"/>
  <c r="D19" i="51"/>
  <c r="M19" i="51"/>
  <c r="F19" i="51"/>
  <c r="C19" i="51"/>
  <c r="H19" i="51"/>
  <c r="G19" i="51"/>
  <c r="K19" i="51"/>
  <c r="L19" i="51"/>
  <c r="J19" i="51"/>
  <c r="H9" i="51"/>
  <c r="I9" i="51"/>
  <c r="D9" i="51"/>
  <c r="E9" i="51"/>
  <c r="K9" i="51"/>
  <c r="M9" i="51"/>
  <c r="F9" i="51"/>
  <c r="C9" i="51"/>
  <c r="L9" i="51"/>
  <c r="G9" i="51"/>
  <c r="N9" i="51"/>
  <c r="J9" i="51"/>
  <c r="H16" i="51"/>
  <c r="L16" i="51"/>
  <c r="D16" i="51"/>
  <c r="M16" i="51"/>
  <c r="N16" i="51"/>
  <c r="I16" i="51"/>
  <c r="E16" i="51"/>
  <c r="G16" i="51"/>
  <c r="K16" i="51"/>
  <c r="C16" i="51"/>
  <c r="F16" i="51"/>
  <c r="J16" i="51"/>
  <c r="G25" i="51"/>
  <c r="H25" i="51"/>
  <c r="K25" i="51"/>
  <c r="M25" i="51"/>
  <c r="C25" i="51"/>
  <c r="F25" i="51"/>
  <c r="N25" i="51"/>
  <c r="E25" i="51"/>
  <c r="L25" i="51"/>
  <c r="I25" i="51"/>
  <c r="D25" i="51"/>
  <c r="J25" i="51"/>
  <c r="F18" i="51"/>
  <c r="N18" i="51"/>
  <c r="L18" i="51"/>
  <c r="H18" i="51"/>
  <c r="I18" i="51"/>
  <c r="M18" i="51"/>
  <c r="E18" i="51"/>
  <c r="C18" i="51"/>
  <c r="G18" i="51"/>
  <c r="K18" i="51"/>
  <c r="D18" i="51"/>
  <c r="J18" i="51"/>
  <c r="L24" i="51"/>
  <c r="H24" i="51"/>
  <c r="D24" i="51"/>
  <c r="M24" i="51"/>
  <c r="E24" i="51"/>
  <c r="N24" i="51"/>
  <c r="I24" i="51"/>
  <c r="C24" i="51"/>
  <c r="G24" i="51"/>
  <c r="K24" i="51"/>
  <c r="F24" i="51"/>
  <c r="J24" i="51"/>
  <c r="D12" i="51"/>
  <c r="L12" i="51"/>
  <c r="H12" i="51"/>
  <c r="N12" i="51"/>
  <c r="G12" i="51"/>
  <c r="K12" i="51"/>
  <c r="I12" i="51"/>
  <c r="C12" i="51"/>
  <c r="M12" i="51"/>
  <c r="E12" i="51"/>
  <c r="F12" i="51"/>
  <c r="J12" i="51"/>
  <c r="N26" i="51"/>
  <c r="F26" i="51"/>
  <c r="M26" i="51"/>
  <c r="I26" i="51"/>
  <c r="D26" i="51"/>
  <c r="E26" i="51"/>
  <c r="G26" i="51"/>
  <c r="K26" i="51"/>
  <c r="L26" i="51"/>
  <c r="H26" i="51"/>
  <c r="C26" i="51"/>
  <c r="J26" i="51"/>
  <c r="M13" i="51"/>
  <c r="N13" i="51"/>
  <c r="I13" i="51"/>
  <c r="D13" i="51"/>
  <c r="E13" i="51"/>
  <c r="F13" i="51"/>
  <c r="L13" i="51"/>
  <c r="K13" i="51"/>
  <c r="H13" i="51"/>
  <c r="C13" i="51"/>
  <c r="G13" i="51"/>
  <c r="J13" i="51"/>
  <c r="F10" i="51"/>
  <c r="N10" i="51"/>
  <c r="M10" i="51"/>
  <c r="I10" i="51"/>
  <c r="D10" i="51"/>
  <c r="E10" i="51"/>
  <c r="C10" i="51"/>
  <c r="G10" i="51"/>
  <c r="H10" i="51"/>
  <c r="K10" i="51"/>
  <c r="L10" i="51"/>
  <c r="J10" i="51"/>
  <c r="L8" i="51"/>
  <c r="H8" i="51"/>
  <c r="D8" i="51"/>
  <c r="N8" i="51"/>
  <c r="M8" i="51"/>
  <c r="I8" i="51"/>
  <c r="E8" i="51"/>
  <c r="C8" i="51"/>
  <c r="G8" i="51"/>
  <c r="K8" i="51"/>
  <c r="F8" i="51"/>
  <c r="J8" i="51"/>
  <c r="L8" i="62"/>
  <c r="K8" i="62"/>
  <c r="H8" i="62"/>
  <c r="F8" i="62"/>
  <c r="J14" i="62"/>
  <c r="D14" i="62"/>
  <c r="H14" i="62"/>
  <c r="M14" i="62"/>
  <c r="L14" i="62"/>
  <c r="K14" i="62"/>
  <c r="G14" i="62"/>
  <c r="E14" i="62"/>
  <c r="F14" i="62"/>
  <c r="I14" i="62"/>
  <c r="N14" i="62"/>
  <c r="C14" i="62"/>
  <c r="L20" i="62"/>
  <c r="K20" i="62"/>
  <c r="H20" i="62"/>
  <c r="G20" i="62"/>
  <c r="J20" i="62"/>
  <c r="E20" i="62"/>
  <c r="D20" i="62"/>
  <c r="M20" i="62"/>
  <c r="F20" i="62"/>
  <c r="N20" i="62"/>
  <c r="I20" i="62"/>
  <c r="C20" i="62"/>
  <c r="L6" i="62"/>
  <c r="D6" i="62"/>
  <c r="J6" i="62"/>
  <c r="M6" i="62"/>
  <c r="K6" i="62"/>
  <c r="H6" i="62"/>
  <c r="G6" i="62"/>
  <c r="E6" i="62"/>
  <c r="N6" i="62"/>
  <c r="I6" i="62"/>
  <c r="F6" i="62"/>
  <c r="C6" i="62"/>
  <c r="D13" i="62"/>
  <c r="H13" i="62"/>
  <c r="G13" i="62"/>
  <c r="J13" i="62"/>
  <c r="M13" i="62"/>
  <c r="L13" i="62"/>
  <c r="K13" i="62"/>
  <c r="E13" i="62"/>
  <c r="F13" i="62"/>
  <c r="N13" i="62"/>
  <c r="I13" i="62"/>
  <c r="C13" i="62"/>
  <c r="M15" i="62"/>
  <c r="K15" i="62"/>
  <c r="J15" i="62"/>
  <c r="E15" i="62"/>
  <c r="C15" i="62"/>
  <c r="D21" i="62"/>
  <c r="H21" i="62"/>
  <c r="M21" i="62"/>
  <c r="L21" i="62"/>
  <c r="E21" i="62"/>
  <c r="K21" i="62"/>
  <c r="G21" i="62"/>
  <c r="J21" i="62"/>
  <c r="F21" i="62"/>
  <c r="I21" i="62"/>
  <c r="N21" i="62"/>
  <c r="C21" i="62"/>
  <c r="D9" i="62"/>
  <c r="E9" i="62"/>
  <c r="K9" i="62"/>
  <c r="H9" i="62"/>
  <c r="G9" i="62"/>
  <c r="J9" i="62"/>
  <c r="L9" i="62"/>
  <c r="M9" i="62"/>
  <c r="F9" i="62"/>
  <c r="N9" i="62"/>
  <c r="I9" i="62"/>
  <c r="C9" i="62"/>
  <c r="L23" i="62"/>
  <c r="H23" i="62"/>
  <c r="G23" i="62"/>
  <c r="J23" i="62"/>
  <c r="E23" i="62"/>
  <c r="K23" i="62"/>
  <c r="M23" i="62"/>
  <c r="D23" i="62"/>
  <c r="N23" i="62"/>
  <c r="F23" i="62"/>
  <c r="I23" i="62"/>
  <c r="C23" i="62"/>
  <c r="L7" i="62"/>
  <c r="H7" i="62"/>
  <c r="G7" i="62"/>
  <c r="M7" i="62"/>
  <c r="D7" i="62"/>
  <c r="K7" i="62"/>
  <c r="E7" i="62"/>
  <c r="J7" i="62"/>
  <c r="I7" i="62"/>
  <c r="F7" i="62"/>
  <c r="N7" i="62"/>
  <c r="C7" i="62"/>
  <c r="K5" i="62"/>
  <c r="J5" i="62"/>
  <c r="M5" i="62"/>
  <c r="D5" i="62"/>
  <c r="G5" i="62"/>
  <c r="L5" i="62"/>
  <c r="H5" i="62"/>
  <c r="E5" i="62"/>
  <c r="N5" i="62"/>
  <c r="I5" i="62"/>
  <c r="F5" i="62"/>
  <c r="C5" i="62"/>
  <c r="K14" i="33"/>
  <c r="M14" i="33"/>
  <c r="H14" i="33"/>
  <c r="D14" i="33"/>
  <c r="F14" i="33"/>
  <c r="N14" i="33"/>
  <c r="E14" i="33"/>
  <c r="L14" i="33"/>
  <c r="I14" i="33"/>
  <c r="J14" i="33"/>
  <c r="G14" i="33"/>
  <c r="C14" i="33"/>
  <c r="K11" i="33"/>
  <c r="J11" i="33"/>
  <c r="N11" i="33"/>
  <c r="L11" i="33"/>
  <c r="F11" i="33"/>
  <c r="G11" i="33"/>
  <c r="C11" i="33"/>
  <c r="H11" i="33"/>
  <c r="I11" i="33"/>
  <c r="E11" i="33"/>
  <c r="M11" i="33"/>
  <c r="D11" i="33"/>
  <c r="K17" i="33"/>
  <c r="F17" i="33"/>
  <c r="E17" i="33"/>
  <c r="L17" i="33"/>
  <c r="H17" i="33"/>
  <c r="M17" i="33"/>
  <c r="I17" i="33"/>
  <c r="D17" i="33"/>
  <c r="J17" i="33"/>
  <c r="C17" i="33"/>
  <c r="G17" i="33"/>
  <c r="N17" i="33"/>
  <c r="K6" i="33"/>
  <c r="D6" i="33"/>
  <c r="M6" i="33"/>
  <c r="G6" i="33"/>
  <c r="L6" i="33"/>
  <c r="H6" i="33"/>
  <c r="J6" i="33"/>
  <c r="E6" i="33"/>
  <c r="I6" i="33"/>
  <c r="F6" i="33"/>
  <c r="N6" i="33"/>
  <c r="C6" i="33"/>
  <c r="F4" i="62"/>
  <c r="G4" i="62"/>
  <c r="H4" i="62"/>
  <c r="D4" i="62"/>
  <c r="I4" i="62"/>
  <c r="E4" i="62"/>
  <c r="M4" i="62"/>
  <c r="L4" i="62"/>
  <c r="J4" i="62"/>
  <c r="N4" i="62"/>
  <c r="C4" i="62"/>
  <c r="K4" i="62"/>
  <c r="K13" i="33"/>
  <c r="E13" i="33"/>
  <c r="L13" i="33"/>
  <c r="I13" i="33"/>
  <c r="D13" i="33"/>
  <c r="F13" i="33"/>
  <c r="J13" i="33"/>
  <c r="C13" i="33"/>
  <c r="M13" i="33"/>
  <c r="H13" i="33"/>
  <c r="G13" i="33"/>
  <c r="N13" i="33"/>
  <c r="K12" i="62"/>
  <c r="G12" i="62"/>
  <c r="E12" i="62"/>
  <c r="L12" i="62"/>
  <c r="J12" i="62"/>
  <c r="H12" i="62"/>
  <c r="D12" i="62"/>
  <c r="M12" i="62"/>
  <c r="I12" i="62"/>
  <c r="F12" i="62"/>
  <c r="N12" i="62"/>
  <c r="C12" i="62"/>
  <c r="K21" i="33"/>
  <c r="E21" i="33"/>
  <c r="H21" i="33"/>
  <c r="D21" i="33"/>
  <c r="F21" i="33"/>
  <c r="L21" i="33"/>
  <c r="I21" i="33"/>
  <c r="J21" i="33"/>
  <c r="M21" i="33"/>
  <c r="N21" i="33"/>
  <c r="C21" i="33"/>
  <c r="G21" i="33"/>
  <c r="K9" i="33"/>
  <c r="M9" i="33"/>
  <c r="I9" i="33"/>
  <c r="G9" i="33"/>
  <c r="J9" i="33"/>
  <c r="E9" i="33"/>
  <c r="F9" i="33"/>
  <c r="L9" i="33"/>
  <c r="H9" i="33"/>
  <c r="D9" i="33"/>
  <c r="N9" i="33"/>
  <c r="C9" i="33"/>
  <c r="K23" i="33"/>
  <c r="L23" i="33"/>
  <c r="M23" i="33"/>
  <c r="G23" i="33"/>
  <c r="I23" i="33"/>
  <c r="E23" i="33"/>
  <c r="H23" i="33"/>
  <c r="D23" i="33"/>
  <c r="F23" i="33"/>
  <c r="C23" i="33"/>
  <c r="N23" i="33"/>
  <c r="J23" i="33"/>
  <c r="K7" i="33"/>
  <c r="N7" i="33"/>
  <c r="J7" i="33"/>
  <c r="I7" i="33"/>
  <c r="D7" i="33"/>
  <c r="E7" i="33"/>
  <c r="L7" i="33"/>
  <c r="H7" i="33"/>
  <c r="F7" i="33"/>
  <c r="C7" i="33"/>
  <c r="M7" i="33"/>
  <c r="G7" i="33"/>
  <c r="K5" i="33"/>
  <c r="E5" i="33"/>
  <c r="L5" i="33"/>
  <c r="I5" i="33"/>
  <c r="F5" i="33"/>
  <c r="G5" i="33"/>
  <c r="M5" i="33"/>
  <c r="H5" i="33"/>
  <c r="D5" i="33"/>
  <c r="J5" i="33"/>
  <c r="C5" i="33"/>
  <c r="N5" i="33"/>
  <c r="AH29" i="3"/>
  <c r="T28" i="4"/>
  <c r="AF29" i="3"/>
  <c r="M22" i="3"/>
  <c r="N28" i="3"/>
  <c r="O28" i="3" s="1"/>
  <c r="M26" i="3"/>
  <c r="M24" i="3"/>
  <c r="N24" i="3"/>
  <c r="O24" i="3" s="1"/>
  <c r="M27" i="3"/>
  <c r="L19" i="3"/>
  <c r="M19" i="3" s="1"/>
  <c r="N19" i="3"/>
  <c r="O19" i="3" s="1"/>
  <c r="L15" i="3"/>
  <c r="M15" i="3" s="1"/>
  <c r="N15" i="3"/>
  <c r="O15" i="3" s="1"/>
  <c r="L11" i="3"/>
  <c r="M11" i="3" s="1"/>
  <c r="N11" i="3"/>
  <c r="O11" i="3" s="1"/>
  <c r="L18" i="3"/>
  <c r="M18" i="3" s="1"/>
  <c r="N18" i="3"/>
  <c r="O18" i="3" s="1"/>
  <c r="L14" i="3"/>
  <c r="M14" i="3" s="1"/>
  <c r="N14" i="3"/>
  <c r="O14" i="3" s="1"/>
  <c r="L10" i="3"/>
  <c r="M10" i="3" s="1"/>
  <c r="N10" i="3"/>
  <c r="O10" i="3" s="1"/>
  <c r="K9" i="3"/>
  <c r="J29" i="3"/>
  <c r="N17" i="3"/>
  <c r="O17" i="3" s="1"/>
  <c r="L17" i="3"/>
  <c r="M17" i="3" s="1"/>
  <c r="N13" i="3"/>
  <c r="O13" i="3" s="1"/>
  <c r="L13" i="3"/>
  <c r="M13" i="3" s="1"/>
  <c r="N16" i="3"/>
  <c r="O16" i="3" s="1"/>
  <c r="L16" i="3"/>
  <c r="M16" i="3" s="1"/>
  <c r="N12" i="3"/>
  <c r="O12" i="3" s="1"/>
  <c r="L12" i="3"/>
  <c r="M12" i="3" s="1"/>
  <c r="F9" i="3"/>
  <c r="G9" i="3" s="1"/>
  <c r="D29" i="3"/>
  <c r="F29" i="3" s="1"/>
  <c r="O15" i="68" l="1"/>
  <c r="N15" i="62"/>
  <c r="L15" i="62"/>
  <c r="I8" i="62"/>
  <c r="M8" i="62"/>
  <c r="I14" i="51"/>
  <c r="I11" i="50" s="1"/>
  <c r="I15" i="62"/>
  <c r="H15" i="62"/>
  <c r="N8" i="62"/>
  <c r="G8" i="62"/>
  <c r="J8" i="62"/>
  <c r="M14" i="51"/>
  <c r="M11" i="56" s="1"/>
  <c r="G14" i="51"/>
  <c r="G11" i="56" s="1"/>
  <c r="O10" i="68"/>
  <c r="E7" i="51"/>
  <c r="E4" i="56" s="1"/>
  <c r="O21" i="68"/>
  <c r="O11" i="68"/>
  <c r="O6" i="68"/>
  <c r="C4" i="33"/>
  <c r="L14" i="51"/>
  <c r="L11" i="56" s="1"/>
  <c r="C14" i="51"/>
  <c r="C11" i="56" s="1"/>
  <c r="D17" i="62"/>
  <c r="E14" i="51"/>
  <c r="E11" i="56" s="1"/>
  <c r="H14" i="51"/>
  <c r="H11" i="50" s="1"/>
  <c r="F14" i="51"/>
  <c r="F11" i="50" s="1"/>
  <c r="F15" i="62"/>
  <c r="G15" i="62"/>
  <c r="C8" i="62"/>
  <c r="E8" i="62"/>
  <c r="D14" i="51"/>
  <c r="D11" i="56" s="1"/>
  <c r="K14" i="51"/>
  <c r="K11" i="56" s="1"/>
  <c r="G18" i="33"/>
  <c r="G17" i="62"/>
  <c r="E18" i="33"/>
  <c r="D18" i="62"/>
  <c r="G8" i="33"/>
  <c r="D8" i="33"/>
  <c r="N7" i="51"/>
  <c r="N4" i="56" s="1"/>
  <c r="H8" i="33"/>
  <c r="K7" i="51"/>
  <c r="K4" i="56" s="1"/>
  <c r="J8" i="33"/>
  <c r="L8" i="33"/>
  <c r="J7" i="51"/>
  <c r="J4" i="56" s="1"/>
  <c r="G7" i="51"/>
  <c r="G4" i="50" s="1"/>
  <c r="I8" i="33"/>
  <c r="C8" i="33"/>
  <c r="K8" i="33"/>
  <c r="N18" i="62"/>
  <c r="H7" i="51"/>
  <c r="H4" i="50" s="1"/>
  <c r="F7" i="51"/>
  <c r="F4" i="56" s="1"/>
  <c r="C7" i="51"/>
  <c r="C4" i="56" s="1"/>
  <c r="M8" i="33"/>
  <c r="L7" i="51"/>
  <c r="L4" i="50" s="1"/>
  <c r="F8" i="33"/>
  <c r="E8" i="33"/>
  <c r="D18" i="33"/>
  <c r="F17" i="62"/>
  <c r="L18" i="62"/>
  <c r="D7" i="51"/>
  <c r="D4" i="50" s="1"/>
  <c r="M7" i="51"/>
  <c r="M4" i="56" s="1"/>
  <c r="E15" i="33"/>
  <c r="F15" i="33"/>
  <c r="N11" i="62"/>
  <c r="D11" i="62"/>
  <c r="L4" i="33"/>
  <c r="G4" i="33"/>
  <c r="D4" i="33"/>
  <c r="I4" i="33"/>
  <c r="M4" i="33"/>
  <c r="N15" i="33"/>
  <c r="L15" i="33"/>
  <c r="K15" i="33"/>
  <c r="I11" i="62"/>
  <c r="M11" i="62"/>
  <c r="H15" i="33"/>
  <c r="C15" i="33"/>
  <c r="C11" i="62"/>
  <c r="G11" i="62"/>
  <c r="K11" i="62"/>
  <c r="O16" i="68"/>
  <c r="M15" i="33"/>
  <c r="G15" i="33"/>
  <c r="E11" i="62"/>
  <c r="H11" i="62"/>
  <c r="I18" i="33"/>
  <c r="F18" i="33"/>
  <c r="K18" i="33"/>
  <c r="I17" i="62"/>
  <c r="L17" i="62"/>
  <c r="H17" i="62"/>
  <c r="F18" i="62"/>
  <c r="E18" i="62"/>
  <c r="M18" i="62"/>
  <c r="J18" i="33"/>
  <c r="L18" i="33"/>
  <c r="H18" i="33"/>
  <c r="F4" i="33"/>
  <c r="H4" i="33"/>
  <c r="N4" i="33"/>
  <c r="C17" i="62"/>
  <c r="E17" i="62"/>
  <c r="K17" i="62"/>
  <c r="C18" i="62"/>
  <c r="J18" i="62"/>
  <c r="G18" i="62"/>
  <c r="K20" i="51"/>
  <c r="K17" i="56" s="1"/>
  <c r="I15" i="33"/>
  <c r="D15" i="33"/>
  <c r="C18" i="33"/>
  <c r="N18" i="33"/>
  <c r="K4" i="33"/>
  <c r="E4" i="33"/>
  <c r="N17" i="62"/>
  <c r="M17" i="62"/>
  <c r="F11" i="62"/>
  <c r="J11" i="62"/>
  <c r="I18" i="62"/>
  <c r="H18" i="62"/>
  <c r="L20" i="51"/>
  <c r="L17" i="50" s="1"/>
  <c r="I20" i="51"/>
  <c r="I17" i="56" s="1"/>
  <c r="M20" i="51"/>
  <c r="M17" i="56" s="1"/>
  <c r="O14" i="68"/>
  <c r="N10" i="33"/>
  <c r="H27" i="14"/>
  <c r="E10" i="33"/>
  <c r="I10" i="33"/>
  <c r="J20" i="51"/>
  <c r="J17" i="50" s="1"/>
  <c r="C20" i="51"/>
  <c r="C17" i="50" s="1"/>
  <c r="K15" i="51"/>
  <c r="K12" i="50" s="1"/>
  <c r="L10" i="33"/>
  <c r="M10" i="33"/>
  <c r="D10" i="33"/>
  <c r="H22" i="33"/>
  <c r="J22" i="62"/>
  <c r="F10" i="33"/>
  <c r="G10" i="33"/>
  <c r="K10" i="33"/>
  <c r="D15" i="51"/>
  <c r="D12" i="50" s="1"/>
  <c r="E20" i="51"/>
  <c r="E17" i="50" s="1"/>
  <c r="F20" i="51"/>
  <c r="F17" i="50" s="1"/>
  <c r="D20" i="51"/>
  <c r="D17" i="50" s="1"/>
  <c r="J10" i="33"/>
  <c r="C10" i="33"/>
  <c r="G19" i="33"/>
  <c r="I15" i="51"/>
  <c r="I12" i="50" s="1"/>
  <c r="N20" i="51"/>
  <c r="N17" i="50" s="1"/>
  <c r="G20" i="51"/>
  <c r="G17" i="50" s="1"/>
  <c r="N15" i="51"/>
  <c r="N12" i="50" s="1"/>
  <c r="F15" i="51"/>
  <c r="F12" i="56" s="1"/>
  <c r="E15" i="51"/>
  <c r="E12" i="56" s="1"/>
  <c r="J15" i="51"/>
  <c r="J12" i="50" s="1"/>
  <c r="L15" i="51"/>
  <c r="L12" i="50" s="1"/>
  <c r="C15" i="51"/>
  <c r="C12" i="56" s="1"/>
  <c r="G15" i="51"/>
  <c r="G12" i="50" s="1"/>
  <c r="M15" i="51"/>
  <c r="M12" i="50" s="1"/>
  <c r="H10" i="62"/>
  <c r="K10" i="62"/>
  <c r="C10" i="62"/>
  <c r="D19" i="33"/>
  <c r="L19" i="33"/>
  <c r="L12" i="33"/>
  <c r="F19" i="33"/>
  <c r="E19" i="33"/>
  <c r="K19" i="33"/>
  <c r="C19" i="33"/>
  <c r="I19" i="33"/>
  <c r="H19" i="33"/>
  <c r="N19" i="33"/>
  <c r="M19" i="33"/>
  <c r="N16" i="62"/>
  <c r="N12" i="33"/>
  <c r="K12" i="33"/>
  <c r="G12" i="33"/>
  <c r="F12" i="33"/>
  <c r="I12" i="33"/>
  <c r="I19" i="62"/>
  <c r="M12" i="33"/>
  <c r="D12" i="33"/>
  <c r="H12" i="33"/>
  <c r="C12" i="33"/>
  <c r="J12" i="33"/>
  <c r="B27" i="51"/>
  <c r="F10" i="62"/>
  <c r="J10" i="62"/>
  <c r="D10" i="62"/>
  <c r="N10" i="62"/>
  <c r="G10" i="62"/>
  <c r="L10" i="62"/>
  <c r="I10" i="62"/>
  <c r="E10" i="62"/>
  <c r="D22" i="62"/>
  <c r="L19" i="62"/>
  <c r="F19" i="62"/>
  <c r="K19" i="62"/>
  <c r="J19" i="62"/>
  <c r="G19" i="62"/>
  <c r="F22" i="33"/>
  <c r="F22" i="62"/>
  <c r="L22" i="33"/>
  <c r="G20" i="33"/>
  <c r="J20" i="33"/>
  <c r="I22" i="62"/>
  <c r="K22" i="62"/>
  <c r="L22" i="62"/>
  <c r="H20" i="33"/>
  <c r="N22" i="62"/>
  <c r="E22" i="62"/>
  <c r="M22" i="62"/>
  <c r="C22" i="62"/>
  <c r="G22" i="62"/>
  <c r="D23" i="51"/>
  <c r="H23" i="51"/>
  <c r="K23" i="51"/>
  <c r="K20" i="50" s="1"/>
  <c r="C19" i="62"/>
  <c r="M19" i="62"/>
  <c r="H19" i="62"/>
  <c r="N19" i="62"/>
  <c r="D19" i="62"/>
  <c r="N22" i="33"/>
  <c r="M16" i="33"/>
  <c r="G22" i="33"/>
  <c r="J22" i="33"/>
  <c r="C22" i="33"/>
  <c r="I22" i="33"/>
  <c r="M22" i="33"/>
  <c r="C16" i="33"/>
  <c r="L23" i="51"/>
  <c r="L20" i="50" s="1"/>
  <c r="F23" i="51"/>
  <c r="F20" i="50" s="1"/>
  <c r="D22" i="33"/>
  <c r="E22" i="33"/>
  <c r="J16" i="33"/>
  <c r="B24" i="33"/>
  <c r="N23" i="51"/>
  <c r="I23" i="51"/>
  <c r="I20" i="33"/>
  <c r="E20" i="33"/>
  <c r="K20" i="33"/>
  <c r="N20" i="33"/>
  <c r="L20" i="33"/>
  <c r="C20" i="33"/>
  <c r="F20" i="33"/>
  <c r="M20" i="33"/>
  <c r="J23" i="51"/>
  <c r="J27" i="51" s="1"/>
  <c r="M23" i="51"/>
  <c r="M20" i="56" s="1"/>
  <c r="C23" i="51"/>
  <c r="G23" i="51"/>
  <c r="G20" i="56" s="1"/>
  <c r="H16" i="33"/>
  <c r="D16" i="33"/>
  <c r="K16" i="33"/>
  <c r="G16" i="33"/>
  <c r="N16" i="33"/>
  <c r="L16" i="33"/>
  <c r="I16" i="33"/>
  <c r="E16" i="33"/>
  <c r="S29" i="3"/>
  <c r="G16" i="62"/>
  <c r="E16" i="62"/>
  <c r="I16" i="62"/>
  <c r="K16" i="62"/>
  <c r="D16" i="62"/>
  <c r="B24" i="62"/>
  <c r="F16" i="62"/>
  <c r="M16" i="62"/>
  <c r="L16" i="62"/>
  <c r="C16" i="62"/>
  <c r="J16" i="62"/>
  <c r="O5" i="33"/>
  <c r="O21" i="33"/>
  <c r="O4" i="62"/>
  <c r="O6" i="33"/>
  <c r="O14" i="33"/>
  <c r="O5" i="62"/>
  <c r="O7" i="62"/>
  <c r="O23" i="62"/>
  <c r="O9" i="62"/>
  <c r="O21" i="62"/>
  <c r="O13" i="62"/>
  <c r="O17" i="33"/>
  <c r="F5" i="50"/>
  <c r="F5" i="56"/>
  <c r="E5" i="50"/>
  <c r="E5" i="56"/>
  <c r="D5" i="50"/>
  <c r="D5" i="56"/>
  <c r="L7" i="56"/>
  <c r="L7" i="50"/>
  <c r="C7" i="56"/>
  <c r="C7" i="50"/>
  <c r="O10" i="51"/>
  <c r="M7" i="56"/>
  <c r="M7" i="50"/>
  <c r="G10" i="50"/>
  <c r="G10" i="56"/>
  <c r="L10" i="50"/>
  <c r="L10" i="56"/>
  <c r="I10" i="50"/>
  <c r="I10" i="56"/>
  <c r="C23" i="56"/>
  <c r="C23" i="50"/>
  <c r="O26" i="51"/>
  <c r="G23" i="56"/>
  <c r="G23" i="50"/>
  <c r="M23" i="50"/>
  <c r="M23" i="56"/>
  <c r="F9" i="56"/>
  <c r="F9" i="50"/>
  <c r="I9" i="50"/>
  <c r="I9" i="56"/>
  <c r="H9" i="56"/>
  <c r="H9" i="50"/>
  <c r="F21" i="56"/>
  <c r="F21" i="50"/>
  <c r="I21" i="50"/>
  <c r="I21" i="56"/>
  <c r="D21" i="56"/>
  <c r="D21" i="50"/>
  <c r="D15" i="50"/>
  <c r="D15" i="56"/>
  <c r="E15" i="56"/>
  <c r="E15" i="50"/>
  <c r="L15" i="50"/>
  <c r="L15" i="56"/>
  <c r="D22" i="56"/>
  <c r="D22" i="50"/>
  <c r="N22" i="50"/>
  <c r="N22" i="56"/>
  <c r="K22" i="50"/>
  <c r="K22" i="56"/>
  <c r="H12" i="56"/>
  <c r="H12" i="50"/>
  <c r="F13" i="56"/>
  <c r="F13" i="50"/>
  <c r="E13" i="50"/>
  <c r="E13" i="56"/>
  <c r="D13" i="50"/>
  <c r="D13" i="56"/>
  <c r="H4" i="56"/>
  <c r="J6" i="50"/>
  <c r="J6" i="56"/>
  <c r="C6" i="56"/>
  <c r="C6" i="50"/>
  <c r="O9" i="51"/>
  <c r="E6" i="50"/>
  <c r="E6" i="56"/>
  <c r="J16" i="50"/>
  <c r="J16" i="56"/>
  <c r="H16" i="50"/>
  <c r="H16" i="56"/>
  <c r="D16" i="50"/>
  <c r="D16" i="56"/>
  <c r="J19" i="50"/>
  <c r="J19" i="56"/>
  <c r="L19" i="56"/>
  <c r="L19" i="50"/>
  <c r="I19" i="50"/>
  <c r="I19" i="56"/>
  <c r="J11" i="50"/>
  <c r="J11" i="56"/>
  <c r="I11" i="56"/>
  <c r="G11" i="50"/>
  <c r="J14" i="50"/>
  <c r="J14" i="56"/>
  <c r="I14" i="50"/>
  <c r="I14" i="56"/>
  <c r="C14" i="56"/>
  <c r="C14" i="50"/>
  <c r="O17" i="51"/>
  <c r="J8" i="50"/>
  <c r="J8" i="56"/>
  <c r="F8" i="56"/>
  <c r="F8" i="50"/>
  <c r="D8" i="50"/>
  <c r="D8" i="56"/>
  <c r="J18" i="56"/>
  <c r="J18" i="50"/>
  <c r="M18" i="56"/>
  <c r="M18" i="50"/>
  <c r="H18" i="56"/>
  <c r="H18" i="50"/>
  <c r="O9" i="33"/>
  <c r="O12" i="62"/>
  <c r="O13" i="33"/>
  <c r="K5" i="50"/>
  <c r="K5" i="56"/>
  <c r="I5" i="56"/>
  <c r="I5" i="50"/>
  <c r="H5" i="50"/>
  <c r="H5" i="56"/>
  <c r="K7" i="56"/>
  <c r="K7" i="50"/>
  <c r="E7" i="56"/>
  <c r="E7" i="50"/>
  <c r="N7" i="56"/>
  <c r="N7" i="50"/>
  <c r="C10" i="56"/>
  <c r="C10" i="50"/>
  <c r="O13" i="51"/>
  <c r="F10" i="50"/>
  <c r="F10" i="56"/>
  <c r="N10" i="50"/>
  <c r="N10" i="56"/>
  <c r="H23" i="56"/>
  <c r="H23" i="50"/>
  <c r="E23" i="56"/>
  <c r="E23" i="50"/>
  <c r="F23" i="50"/>
  <c r="F23" i="56"/>
  <c r="E9" i="56"/>
  <c r="E9" i="50"/>
  <c r="K9" i="56"/>
  <c r="K9" i="50"/>
  <c r="L9" i="50"/>
  <c r="L9" i="56"/>
  <c r="K21" i="56"/>
  <c r="K21" i="50"/>
  <c r="N21" i="56"/>
  <c r="N21" i="50"/>
  <c r="H21" i="56"/>
  <c r="H21" i="50"/>
  <c r="K15" i="56"/>
  <c r="K15" i="50"/>
  <c r="M15" i="50"/>
  <c r="M15" i="56"/>
  <c r="N15" i="56"/>
  <c r="N15" i="50"/>
  <c r="I22" i="56"/>
  <c r="I22" i="50"/>
  <c r="F22" i="50"/>
  <c r="F22" i="56"/>
  <c r="H22" i="50"/>
  <c r="H22" i="56"/>
  <c r="C13" i="56"/>
  <c r="C13" i="50"/>
  <c r="O16" i="51"/>
  <c r="I13" i="56"/>
  <c r="I13" i="50"/>
  <c r="L13" i="56"/>
  <c r="L13" i="50"/>
  <c r="I4" i="50"/>
  <c r="I4" i="56"/>
  <c r="N6" i="56"/>
  <c r="N6" i="50"/>
  <c r="F6" i="56"/>
  <c r="F6" i="50"/>
  <c r="D6" i="50"/>
  <c r="D6" i="56"/>
  <c r="L16" i="56"/>
  <c r="L16" i="50"/>
  <c r="C16" i="56"/>
  <c r="C16" i="50"/>
  <c r="O19" i="51"/>
  <c r="N16" i="56"/>
  <c r="N16" i="50"/>
  <c r="C19" i="56"/>
  <c r="C19" i="50"/>
  <c r="O22" i="51"/>
  <c r="K19" i="56"/>
  <c r="K19" i="50"/>
  <c r="H19" i="50"/>
  <c r="H19" i="56"/>
  <c r="K14" i="50"/>
  <c r="K14" i="56"/>
  <c r="N14" i="50"/>
  <c r="N14" i="56"/>
  <c r="H14" i="50"/>
  <c r="H14" i="56"/>
  <c r="N8" i="56"/>
  <c r="N8" i="50"/>
  <c r="K8" i="50"/>
  <c r="K8" i="56"/>
  <c r="L8" i="56"/>
  <c r="L8" i="50"/>
  <c r="E18" i="50"/>
  <c r="E18" i="56"/>
  <c r="F18" i="50"/>
  <c r="F18" i="56"/>
  <c r="L18" i="50"/>
  <c r="L18" i="56"/>
  <c r="G5" i="56"/>
  <c r="G5" i="50"/>
  <c r="M5" i="56"/>
  <c r="M5" i="50"/>
  <c r="L5" i="50"/>
  <c r="L5" i="56"/>
  <c r="H7" i="50"/>
  <c r="H7" i="56"/>
  <c r="D7" i="56"/>
  <c r="D7" i="50"/>
  <c r="F7" i="50"/>
  <c r="F7" i="56"/>
  <c r="H10" i="56"/>
  <c r="H10" i="50"/>
  <c r="E10" i="50"/>
  <c r="E10" i="56"/>
  <c r="M10" i="50"/>
  <c r="M10" i="56"/>
  <c r="L23" i="50"/>
  <c r="L23" i="56"/>
  <c r="D23" i="50"/>
  <c r="D23" i="56"/>
  <c r="N23" i="56"/>
  <c r="N23" i="50"/>
  <c r="M9" i="50"/>
  <c r="M9" i="56"/>
  <c r="G9" i="50"/>
  <c r="G9" i="56"/>
  <c r="D9" i="56"/>
  <c r="D9" i="50"/>
  <c r="G21" i="56"/>
  <c r="G21" i="50"/>
  <c r="E21" i="56"/>
  <c r="E21" i="50"/>
  <c r="L21" i="56"/>
  <c r="L21" i="50"/>
  <c r="G15" i="50"/>
  <c r="G15" i="56"/>
  <c r="I15" i="50"/>
  <c r="I15" i="56"/>
  <c r="F15" i="50"/>
  <c r="F15" i="56"/>
  <c r="L22" i="50"/>
  <c r="L22" i="56"/>
  <c r="C22" i="56"/>
  <c r="C22" i="50"/>
  <c r="O25" i="51"/>
  <c r="G22" i="56"/>
  <c r="G22" i="50"/>
  <c r="K13" i="50"/>
  <c r="K13" i="56"/>
  <c r="N13" i="50"/>
  <c r="N13" i="56"/>
  <c r="H13" i="50"/>
  <c r="H13" i="56"/>
  <c r="G6" i="56"/>
  <c r="G6" i="50"/>
  <c r="M6" i="56"/>
  <c r="M6" i="50"/>
  <c r="I6" i="56"/>
  <c r="I6" i="50"/>
  <c r="K16" i="56"/>
  <c r="K16" i="50"/>
  <c r="F16" i="56"/>
  <c r="F16" i="50"/>
  <c r="I16" i="50"/>
  <c r="I16" i="56"/>
  <c r="E19" i="50"/>
  <c r="E19" i="56"/>
  <c r="G19" i="50"/>
  <c r="G19" i="56"/>
  <c r="F19" i="50"/>
  <c r="F19" i="56"/>
  <c r="E14" i="50"/>
  <c r="E14" i="56"/>
  <c r="M14" i="50"/>
  <c r="M14" i="56"/>
  <c r="L14" i="50"/>
  <c r="L14" i="56"/>
  <c r="M8" i="50"/>
  <c r="M8" i="56"/>
  <c r="G8" i="50"/>
  <c r="G8" i="56"/>
  <c r="E8" i="56"/>
  <c r="E8" i="50"/>
  <c r="I18" i="56"/>
  <c r="I18" i="50"/>
  <c r="D18" i="50"/>
  <c r="D18" i="56"/>
  <c r="K18" i="50"/>
  <c r="K18" i="56"/>
  <c r="O7" i="33"/>
  <c r="O23" i="33"/>
  <c r="O11" i="33"/>
  <c r="O6" i="62"/>
  <c r="O20" i="62"/>
  <c r="O14" i="62"/>
  <c r="J5" i="56"/>
  <c r="J5" i="50"/>
  <c r="C5" i="56"/>
  <c r="C5" i="50"/>
  <c r="O8" i="51"/>
  <c r="N5" i="50"/>
  <c r="N5" i="56"/>
  <c r="J7" i="50"/>
  <c r="J7" i="56"/>
  <c r="G7" i="50"/>
  <c r="G7" i="56"/>
  <c r="I7" i="50"/>
  <c r="I7" i="56"/>
  <c r="J10" i="50"/>
  <c r="J10" i="56"/>
  <c r="K10" i="56"/>
  <c r="K10" i="50"/>
  <c r="D10" i="50"/>
  <c r="D10" i="56"/>
  <c r="J23" i="56"/>
  <c r="J23" i="50"/>
  <c r="K23" i="50"/>
  <c r="K23" i="56"/>
  <c r="I23" i="56"/>
  <c r="I23" i="50"/>
  <c r="J9" i="50"/>
  <c r="J9" i="56"/>
  <c r="C9" i="56"/>
  <c r="C9" i="50"/>
  <c r="O12" i="51"/>
  <c r="N9" i="56"/>
  <c r="N9" i="50"/>
  <c r="J21" i="50"/>
  <c r="J21" i="56"/>
  <c r="C21" i="56"/>
  <c r="C21" i="50"/>
  <c r="O24" i="51"/>
  <c r="M21" i="50"/>
  <c r="M21" i="56"/>
  <c r="J15" i="50"/>
  <c r="J15" i="56"/>
  <c r="C15" i="56"/>
  <c r="C15" i="50"/>
  <c r="O18" i="51"/>
  <c r="H15" i="56"/>
  <c r="H15" i="50"/>
  <c r="J22" i="50"/>
  <c r="J22" i="56"/>
  <c r="E22" i="56"/>
  <c r="E22" i="50"/>
  <c r="M22" i="50"/>
  <c r="M22" i="56"/>
  <c r="J13" i="50"/>
  <c r="J13" i="56"/>
  <c r="G13" i="56"/>
  <c r="G13" i="50"/>
  <c r="M13" i="56"/>
  <c r="M13" i="50"/>
  <c r="L6" i="56"/>
  <c r="L6" i="50"/>
  <c r="K6" i="56"/>
  <c r="K6" i="50"/>
  <c r="H6" i="56"/>
  <c r="H6" i="50"/>
  <c r="E20" i="56"/>
  <c r="E20" i="50"/>
  <c r="H17" i="50"/>
  <c r="H17" i="56"/>
  <c r="G16" i="50"/>
  <c r="G16" i="56"/>
  <c r="M16" i="56"/>
  <c r="M16" i="50"/>
  <c r="E16" i="56"/>
  <c r="E16" i="50"/>
  <c r="M19" i="56"/>
  <c r="M19" i="50"/>
  <c r="D19" i="50"/>
  <c r="D19" i="56"/>
  <c r="N19" i="50"/>
  <c r="N19" i="56"/>
  <c r="N11" i="56"/>
  <c r="N11" i="50"/>
  <c r="D14" i="50"/>
  <c r="D14" i="56"/>
  <c r="G14" i="56"/>
  <c r="G14" i="50"/>
  <c r="F14" i="56"/>
  <c r="F14" i="50"/>
  <c r="H8" i="50"/>
  <c r="H8" i="56"/>
  <c r="C8" i="56"/>
  <c r="C8" i="50"/>
  <c r="O11" i="51"/>
  <c r="I8" i="50"/>
  <c r="I8" i="56"/>
  <c r="N18" i="50"/>
  <c r="N18" i="56"/>
  <c r="G18" i="56"/>
  <c r="G18" i="50"/>
  <c r="C18" i="56"/>
  <c r="C18" i="50"/>
  <c r="O21" i="51"/>
  <c r="H9" i="3"/>
  <c r="H29" i="3" s="1"/>
  <c r="G29" i="3"/>
  <c r="L9" i="3"/>
  <c r="N9" i="3"/>
  <c r="K29" i="3"/>
  <c r="D11" i="50" l="1"/>
  <c r="M11" i="50"/>
  <c r="L11" i="50"/>
  <c r="L24" i="50" s="1"/>
  <c r="F11" i="56"/>
  <c r="L4" i="56"/>
  <c r="C11" i="50"/>
  <c r="E4" i="50"/>
  <c r="K17" i="50"/>
  <c r="O8" i="62"/>
  <c r="O14" i="51"/>
  <c r="G4" i="56"/>
  <c r="O15" i="62"/>
  <c r="H11" i="56"/>
  <c r="K4" i="50"/>
  <c r="K11" i="50"/>
  <c r="E11" i="50"/>
  <c r="N4" i="50"/>
  <c r="H27" i="51"/>
  <c r="F4" i="50"/>
  <c r="D4" i="56"/>
  <c r="C4" i="50"/>
  <c r="J4" i="50"/>
  <c r="O8" i="33"/>
  <c r="O7" i="51"/>
  <c r="M4" i="50"/>
  <c r="M12" i="56"/>
  <c r="M24" i="56" s="1"/>
  <c r="J17" i="56"/>
  <c r="O4" i="33"/>
  <c r="I17" i="50"/>
  <c r="L12" i="56"/>
  <c r="O15" i="33"/>
  <c r="O17" i="62"/>
  <c r="M17" i="50"/>
  <c r="O11" i="62"/>
  <c r="O18" i="62"/>
  <c r="O18" i="33"/>
  <c r="J12" i="56"/>
  <c r="G17" i="56"/>
  <c r="L17" i="56"/>
  <c r="E17" i="56"/>
  <c r="E24" i="56" s="1"/>
  <c r="F17" i="56"/>
  <c r="C17" i="56"/>
  <c r="E12" i="50"/>
  <c r="K12" i="56"/>
  <c r="C27" i="51"/>
  <c r="N17" i="56"/>
  <c r="G12" i="56"/>
  <c r="N12" i="56"/>
  <c r="O10" i="33"/>
  <c r="F12" i="50"/>
  <c r="C12" i="50"/>
  <c r="D17" i="56"/>
  <c r="I12" i="56"/>
  <c r="O20" i="51"/>
  <c r="I27" i="51"/>
  <c r="O15" i="51"/>
  <c r="E27" i="51"/>
  <c r="D12" i="56"/>
  <c r="N27" i="51"/>
  <c r="D27" i="51"/>
  <c r="D20" i="50"/>
  <c r="D24" i="50" s="1"/>
  <c r="L20" i="56"/>
  <c r="O12" i="33"/>
  <c r="O19" i="33"/>
  <c r="O10" i="62"/>
  <c r="D20" i="56"/>
  <c r="H20" i="50"/>
  <c r="H24" i="50" s="1"/>
  <c r="F27" i="51"/>
  <c r="O22" i="62"/>
  <c r="H20" i="56"/>
  <c r="G27" i="51"/>
  <c r="I20" i="56"/>
  <c r="N20" i="50"/>
  <c r="N24" i="50" s="1"/>
  <c r="K27" i="51"/>
  <c r="G20" i="50"/>
  <c r="G24" i="50" s="1"/>
  <c r="J20" i="56"/>
  <c r="I20" i="50"/>
  <c r="I24" i="50" s="1"/>
  <c r="K20" i="56"/>
  <c r="O22" i="33"/>
  <c r="M27" i="51"/>
  <c r="F20" i="56"/>
  <c r="M20" i="50"/>
  <c r="O20" i="33"/>
  <c r="O19" i="62"/>
  <c r="N20" i="56"/>
  <c r="L27" i="51"/>
  <c r="J20" i="50"/>
  <c r="O16" i="33"/>
  <c r="C20" i="56"/>
  <c r="C20" i="50"/>
  <c r="O23" i="51"/>
  <c r="O16" i="62"/>
  <c r="O21" i="56"/>
  <c r="O13" i="56"/>
  <c r="O5" i="56"/>
  <c r="O22" i="50"/>
  <c r="O9" i="56"/>
  <c r="O10" i="56"/>
  <c r="O8" i="50"/>
  <c r="O16" i="56"/>
  <c r="O6" i="56"/>
  <c r="O9" i="50"/>
  <c r="O10" i="50"/>
  <c r="O5" i="50"/>
  <c r="O18" i="50"/>
  <c r="O16" i="50"/>
  <c r="O6" i="50"/>
  <c r="O23" i="50"/>
  <c r="O15" i="56"/>
  <c r="O21" i="50"/>
  <c r="O7" i="56"/>
  <c r="O18" i="56"/>
  <c r="O14" i="56"/>
  <c r="O19" i="56"/>
  <c r="O13" i="50"/>
  <c r="O22" i="56"/>
  <c r="O15" i="50"/>
  <c r="O23" i="56"/>
  <c r="O7" i="50"/>
  <c r="O8" i="56"/>
  <c r="O14" i="50"/>
  <c r="O19" i="50"/>
  <c r="O9" i="3"/>
  <c r="N29" i="3"/>
  <c r="M9" i="3"/>
  <c r="L29" i="3"/>
  <c r="M29" i="3" s="1"/>
  <c r="O11" i="56" l="1"/>
  <c r="F24" i="56"/>
  <c r="H24" i="56"/>
  <c r="O4" i="56"/>
  <c r="E24" i="50"/>
  <c r="O11" i="50"/>
  <c r="K24" i="50"/>
  <c r="F24" i="50"/>
  <c r="J24" i="50"/>
  <c r="G24" i="56"/>
  <c r="O4" i="50"/>
  <c r="O17" i="50"/>
  <c r="J24" i="56"/>
  <c r="M24" i="50"/>
  <c r="L24" i="56"/>
  <c r="K24" i="56"/>
  <c r="O17" i="56"/>
  <c r="O12" i="56"/>
  <c r="N24" i="56"/>
  <c r="O12" i="50"/>
  <c r="I24" i="56"/>
  <c r="D24" i="56"/>
  <c r="O20" i="56"/>
  <c r="O27" i="51"/>
  <c r="O20" i="50"/>
  <c r="C24" i="50"/>
  <c r="C24" i="56"/>
  <c r="O29" i="3"/>
  <c r="P9" i="3" s="1"/>
  <c r="O24" i="50" l="1"/>
  <c r="O24" i="56"/>
  <c r="Q9" i="3"/>
  <c r="P15" i="3"/>
  <c r="Q15" i="3" s="1"/>
  <c r="R15" i="3" s="1"/>
  <c r="P18" i="3"/>
  <c r="Q18" i="3" s="1"/>
  <c r="R18" i="3" s="1"/>
  <c r="P17" i="3"/>
  <c r="Q17" i="3" s="1"/>
  <c r="R17" i="3" s="1"/>
  <c r="P11" i="3"/>
  <c r="Q11" i="3" s="1"/>
  <c r="R11" i="3" s="1"/>
  <c r="P12" i="3"/>
  <c r="Q12" i="3" s="1"/>
  <c r="R12" i="3" s="1"/>
  <c r="P16" i="3"/>
  <c r="Q16" i="3" s="1"/>
  <c r="R16" i="3" s="1"/>
  <c r="P19" i="3"/>
  <c r="Q19" i="3" s="1"/>
  <c r="R19" i="3" s="1"/>
  <c r="P14" i="3"/>
  <c r="Q14" i="3" s="1"/>
  <c r="R14" i="3" s="1"/>
  <c r="P10" i="3"/>
  <c r="Q10" i="3" s="1"/>
  <c r="R10" i="3" s="1"/>
  <c r="P13" i="3"/>
  <c r="Q13" i="3" s="1"/>
  <c r="R13" i="3" s="1"/>
  <c r="P21" i="3"/>
  <c r="Q21" i="3" s="1"/>
  <c r="R21" i="3" s="1"/>
  <c r="P24" i="3"/>
  <c r="Q24" i="3" s="1"/>
  <c r="R24" i="3" s="1"/>
  <c r="P22" i="3"/>
  <c r="Q22" i="3" s="1"/>
  <c r="R22" i="3" s="1"/>
  <c r="P27" i="3"/>
  <c r="Q27" i="3" s="1"/>
  <c r="R27" i="3" s="1"/>
  <c r="P25" i="3"/>
  <c r="Q25" i="3" s="1"/>
  <c r="R25" i="3" s="1"/>
  <c r="P26" i="3"/>
  <c r="Q26" i="3" s="1"/>
  <c r="R26" i="3" s="1"/>
  <c r="P20" i="3"/>
  <c r="Q20" i="3" s="1"/>
  <c r="R20" i="3" s="1"/>
  <c r="P23" i="3"/>
  <c r="Q23" i="3" s="1"/>
  <c r="R23" i="3" s="1"/>
  <c r="P28" i="3"/>
  <c r="Q28" i="3" s="1"/>
  <c r="R28" i="3" s="1"/>
  <c r="T29" i="3"/>
  <c r="R9" i="3" l="1"/>
  <c r="R29" i="3" s="1"/>
  <c r="Q29" i="3"/>
  <c r="P29" i="3"/>
  <c r="I7" i="13"/>
  <c r="K8" i="8"/>
  <c r="K28" i="8" s="1"/>
  <c r="I27" i="13" l="1"/>
  <c r="AI9" i="3"/>
  <c r="AI29" i="3" s="1"/>
  <c r="Y9" i="3"/>
  <c r="Y29" i="3" s="1"/>
  <c r="D24" i="43"/>
  <c r="D26" i="43" s="1"/>
  <c r="D29" i="45"/>
  <c r="O7" i="45"/>
  <c r="O27" i="45" s="1"/>
  <c r="O29" i="45" s="1"/>
  <c r="D5" i="59"/>
  <c r="D25" i="59" s="1"/>
  <c r="D27" i="59" s="1"/>
  <c r="R27" i="45" l="1"/>
  <c r="O5" i="59"/>
  <c r="O25" i="59" s="1"/>
  <c r="O27" i="59" s="1"/>
  <c r="O4" i="43"/>
  <c r="O24" i="43" s="1"/>
  <c r="O26" i="43" s="1"/>
  <c r="I20" i="14" l="1"/>
  <c r="AG22" i="3" s="1"/>
  <c r="I11" i="14"/>
  <c r="AG13" i="3" s="1"/>
  <c r="I21" i="14"/>
  <c r="AG23" i="3" s="1"/>
  <c r="I22" i="14"/>
  <c r="AG24" i="3" s="1"/>
  <c r="I15" i="14"/>
  <c r="AG17" i="3" s="1"/>
  <c r="I16" i="14"/>
  <c r="AG18" i="3" s="1"/>
  <c r="I26" i="14"/>
  <c r="AG28" i="3" s="1"/>
  <c r="I18" i="14"/>
  <c r="AG20" i="3" s="1"/>
  <c r="I8" i="14"/>
  <c r="AG10" i="3" s="1"/>
  <c r="I13" i="14"/>
  <c r="AG15" i="3" s="1"/>
  <c r="I10" i="14"/>
  <c r="AG12" i="3" s="1"/>
  <c r="I19" i="14"/>
  <c r="AG21" i="3" s="1"/>
  <c r="I9" i="14"/>
  <c r="AG11" i="3" s="1"/>
  <c r="I14" i="14"/>
  <c r="AG16" i="3" s="1"/>
  <c r="I23" i="14"/>
  <c r="AG25" i="3" s="1"/>
  <c r="I12" i="14"/>
  <c r="AG14" i="3" s="1"/>
  <c r="I25" i="14"/>
  <c r="AG27" i="3" s="1"/>
  <c r="I17" i="14"/>
  <c r="AG19" i="3" s="1"/>
  <c r="I24" i="14"/>
  <c r="AG26" i="3" s="1"/>
  <c r="I7" i="14"/>
  <c r="I27" i="14" l="1"/>
  <c r="AG9" i="3"/>
  <c r="AG29" i="3" s="1"/>
  <c r="P7" i="72"/>
  <c r="P24" i="72" l="1"/>
  <c r="C7" i="72" s="1"/>
  <c r="B7" i="67" s="1"/>
  <c r="N7" i="67" l="1"/>
  <c r="G7" i="67"/>
  <c r="F7" i="67"/>
  <c r="J7" i="67"/>
  <c r="H7" i="67"/>
  <c r="L7" i="67"/>
  <c r="E7" i="67"/>
  <c r="M7" i="67"/>
  <c r="K7" i="67"/>
  <c r="I7" i="67"/>
  <c r="D7" i="67"/>
  <c r="C7" i="67"/>
  <c r="R7" i="72"/>
  <c r="C16" i="72"/>
  <c r="B16" i="67" s="1"/>
  <c r="C5" i="72"/>
  <c r="B5" i="67" s="1"/>
  <c r="C22" i="72"/>
  <c r="B22" i="67" s="1"/>
  <c r="C17" i="72"/>
  <c r="B17" i="67" s="1"/>
  <c r="C19" i="72"/>
  <c r="B19" i="67" s="1"/>
  <c r="C20" i="72"/>
  <c r="B20" i="67" s="1"/>
  <c r="C10" i="72"/>
  <c r="B10" i="67" s="1"/>
  <c r="C12" i="72"/>
  <c r="B12" i="67" s="1"/>
  <c r="C6" i="72"/>
  <c r="B6" i="67" s="1"/>
  <c r="C23" i="72"/>
  <c r="B23" i="67" s="1"/>
  <c r="C9" i="72"/>
  <c r="B9" i="67" s="1"/>
  <c r="C14" i="72"/>
  <c r="B14" i="67" s="1"/>
  <c r="C4" i="72"/>
  <c r="C11" i="72"/>
  <c r="B11" i="67" s="1"/>
  <c r="C8" i="72"/>
  <c r="B8" i="67" s="1"/>
  <c r="C21" i="72"/>
  <c r="B21" i="67" s="1"/>
  <c r="C18" i="72"/>
  <c r="B18" i="67" s="1"/>
  <c r="C13" i="72"/>
  <c r="B13" i="67" s="1"/>
  <c r="C15" i="72"/>
  <c r="B15" i="67" s="1"/>
  <c r="N8" i="67" l="1"/>
  <c r="K8" i="67"/>
  <c r="J8" i="67"/>
  <c r="F8" i="67"/>
  <c r="E8" i="67"/>
  <c r="H8" i="67"/>
  <c r="L8" i="67"/>
  <c r="I8" i="67"/>
  <c r="M8" i="67"/>
  <c r="G8" i="67"/>
  <c r="C8" i="67"/>
  <c r="D8" i="67"/>
  <c r="G9" i="67"/>
  <c r="F9" i="67"/>
  <c r="E9" i="67"/>
  <c r="H9" i="67"/>
  <c r="L9" i="67"/>
  <c r="N9" i="67"/>
  <c r="M9" i="67"/>
  <c r="K9" i="67"/>
  <c r="J9" i="67"/>
  <c r="I9" i="67"/>
  <c r="D9" i="67"/>
  <c r="C9" i="67"/>
  <c r="N10" i="67"/>
  <c r="I10" i="67"/>
  <c r="J10" i="67"/>
  <c r="H10" i="67"/>
  <c r="L10" i="67"/>
  <c r="F10" i="67"/>
  <c r="E10" i="67"/>
  <c r="M10" i="67"/>
  <c r="K10" i="67"/>
  <c r="G10" i="67"/>
  <c r="D10" i="67"/>
  <c r="C10" i="67"/>
  <c r="J22" i="67"/>
  <c r="H22" i="67"/>
  <c r="L22" i="67"/>
  <c r="F22" i="67"/>
  <c r="E22" i="67"/>
  <c r="M22" i="67"/>
  <c r="K22" i="67"/>
  <c r="I22" i="67"/>
  <c r="G22" i="67"/>
  <c r="N22" i="67"/>
  <c r="D22" i="67"/>
  <c r="C22" i="67"/>
  <c r="N21" i="67"/>
  <c r="M21" i="67"/>
  <c r="K21" i="67"/>
  <c r="J21" i="67"/>
  <c r="I21" i="67"/>
  <c r="H21" i="67"/>
  <c r="L21" i="67"/>
  <c r="F21" i="67"/>
  <c r="E21" i="67"/>
  <c r="G21" i="67"/>
  <c r="D21" i="67"/>
  <c r="C21" i="67"/>
  <c r="K12" i="67"/>
  <c r="I12" i="67"/>
  <c r="H12" i="67"/>
  <c r="L12" i="67"/>
  <c r="G12" i="67"/>
  <c r="M12" i="67"/>
  <c r="F12" i="67"/>
  <c r="E12" i="67"/>
  <c r="J12" i="67"/>
  <c r="N12" i="67"/>
  <c r="D12" i="67"/>
  <c r="C12" i="67"/>
  <c r="N17" i="67"/>
  <c r="M17" i="67"/>
  <c r="K17" i="67"/>
  <c r="J17" i="67"/>
  <c r="I17" i="67"/>
  <c r="H17" i="67"/>
  <c r="L17" i="67"/>
  <c r="G17" i="67"/>
  <c r="F17" i="67"/>
  <c r="E17" i="67"/>
  <c r="D17" i="67"/>
  <c r="C17" i="67"/>
  <c r="H15" i="67"/>
  <c r="N15" i="67"/>
  <c r="G15" i="67"/>
  <c r="J15" i="67"/>
  <c r="L15" i="67"/>
  <c r="E15" i="67"/>
  <c r="K15" i="67"/>
  <c r="I15" i="67"/>
  <c r="F15" i="67"/>
  <c r="M15" i="67"/>
  <c r="C15" i="67"/>
  <c r="D15" i="67"/>
  <c r="G13" i="67"/>
  <c r="F13" i="67"/>
  <c r="E13" i="67"/>
  <c r="J13" i="67"/>
  <c r="N13" i="67"/>
  <c r="I13" i="67"/>
  <c r="M13" i="67"/>
  <c r="H13" i="67"/>
  <c r="K13" i="67"/>
  <c r="L13" i="67"/>
  <c r="D13" i="67"/>
  <c r="C13" i="67"/>
  <c r="N11" i="67"/>
  <c r="E11" i="67"/>
  <c r="F11" i="67"/>
  <c r="M11" i="67"/>
  <c r="K11" i="67"/>
  <c r="J11" i="67"/>
  <c r="I11" i="67"/>
  <c r="H11" i="67"/>
  <c r="L11" i="67"/>
  <c r="G11" i="67"/>
  <c r="C11" i="67"/>
  <c r="D11" i="67"/>
  <c r="M23" i="67"/>
  <c r="K23" i="67"/>
  <c r="I23" i="67"/>
  <c r="G23" i="67"/>
  <c r="F23" i="67"/>
  <c r="N23" i="67"/>
  <c r="H23" i="67"/>
  <c r="L23" i="67"/>
  <c r="J23" i="67"/>
  <c r="E23" i="67"/>
  <c r="C23" i="67"/>
  <c r="D23" i="67"/>
  <c r="N20" i="67"/>
  <c r="M20" i="67"/>
  <c r="J20" i="67"/>
  <c r="I20" i="67"/>
  <c r="K20" i="67"/>
  <c r="H20" i="67"/>
  <c r="G20" i="67"/>
  <c r="E20" i="67"/>
  <c r="L20" i="67"/>
  <c r="F20" i="67"/>
  <c r="D20" i="67"/>
  <c r="C20" i="67"/>
  <c r="N5" i="67"/>
  <c r="M5" i="67"/>
  <c r="K5" i="67"/>
  <c r="J5" i="67"/>
  <c r="I5" i="67"/>
  <c r="H5" i="67"/>
  <c r="L5" i="67"/>
  <c r="E5" i="67"/>
  <c r="G5" i="67"/>
  <c r="F5" i="67"/>
  <c r="D5" i="67"/>
  <c r="C5" i="67"/>
  <c r="G14" i="67"/>
  <c r="L14" i="67"/>
  <c r="E14" i="67"/>
  <c r="N14" i="67"/>
  <c r="J14" i="67"/>
  <c r="H14" i="67"/>
  <c r="F14" i="67"/>
  <c r="M14" i="67"/>
  <c r="K14" i="67"/>
  <c r="I14" i="67"/>
  <c r="C14" i="67"/>
  <c r="D14" i="67"/>
  <c r="M18" i="67"/>
  <c r="K18" i="67"/>
  <c r="I18" i="67"/>
  <c r="G18" i="67"/>
  <c r="N18" i="67"/>
  <c r="H18" i="67"/>
  <c r="L18" i="67"/>
  <c r="F18" i="67"/>
  <c r="J18" i="67"/>
  <c r="E18" i="67"/>
  <c r="D18" i="67"/>
  <c r="C18" i="67"/>
  <c r="R4" i="72"/>
  <c r="B4" i="67"/>
  <c r="J6" i="67"/>
  <c r="H6" i="67"/>
  <c r="L6" i="67"/>
  <c r="F6" i="67"/>
  <c r="E6" i="67"/>
  <c r="G6" i="67"/>
  <c r="M6" i="67"/>
  <c r="K6" i="67"/>
  <c r="I6" i="67"/>
  <c r="N6" i="67"/>
  <c r="D6" i="67"/>
  <c r="C6" i="67"/>
  <c r="G19" i="67"/>
  <c r="F19" i="67"/>
  <c r="E19" i="67"/>
  <c r="N19" i="67"/>
  <c r="I19" i="67"/>
  <c r="L19" i="67"/>
  <c r="M19" i="67"/>
  <c r="J19" i="67"/>
  <c r="K19" i="67"/>
  <c r="H19" i="67"/>
  <c r="D19" i="67"/>
  <c r="C19" i="67"/>
  <c r="H16" i="67"/>
  <c r="L16" i="67"/>
  <c r="G16" i="67"/>
  <c r="E16" i="67"/>
  <c r="F16" i="67"/>
  <c r="I16" i="67"/>
  <c r="N16" i="67"/>
  <c r="M16" i="67"/>
  <c r="J16" i="67"/>
  <c r="K16" i="67"/>
  <c r="D16" i="67"/>
  <c r="C16" i="67"/>
  <c r="R13" i="72"/>
  <c r="R11" i="72"/>
  <c r="R23" i="72"/>
  <c r="R20" i="72"/>
  <c r="R5" i="72"/>
  <c r="R18" i="72"/>
  <c r="R6" i="72"/>
  <c r="R19" i="72"/>
  <c r="R16" i="72"/>
  <c r="R21" i="72"/>
  <c r="R14" i="72"/>
  <c r="R12" i="72"/>
  <c r="R17" i="72"/>
  <c r="R15" i="72"/>
  <c r="R8" i="72"/>
  <c r="R9" i="72"/>
  <c r="R10" i="72"/>
  <c r="R22" i="72"/>
  <c r="C24" i="72"/>
  <c r="B24" i="67" l="1"/>
  <c r="M4" i="67"/>
  <c r="L4" i="67"/>
  <c r="N4" i="67"/>
  <c r="J4" i="67"/>
  <c r="G4" i="67"/>
  <c r="F4" i="67"/>
  <c r="E4" i="67"/>
  <c r="K4" i="67"/>
  <c r="I4" i="67"/>
  <c r="H4" i="67"/>
  <c r="D4" i="67"/>
  <c r="R24" i="72"/>
  <c r="AJ29" i="3"/>
  <c r="O24" i="67"/>
  <c r="O14" i="67"/>
  <c r="AK19" i="3" s="1"/>
  <c r="O21" i="67"/>
  <c r="AK26" i="3" s="1"/>
  <c r="O10" i="67"/>
  <c r="AK15" i="3" s="1"/>
  <c r="O15" i="67"/>
  <c r="AK20" i="3"/>
  <c r="O19" i="67"/>
  <c r="AK24" i="3" s="1"/>
  <c r="O8" i="67"/>
  <c r="AK13" i="3" s="1"/>
  <c r="O6" i="67"/>
  <c r="AK11" i="3" s="1"/>
  <c r="O12" i="67"/>
  <c r="AK17" i="3" s="1"/>
  <c r="O22" i="67"/>
  <c r="AK27" i="3" s="1"/>
  <c r="O5" i="67"/>
  <c r="AK10" i="3" s="1"/>
  <c r="O23" i="67"/>
  <c r="AK28" i="3" s="1"/>
  <c r="O7" i="67"/>
  <c r="AK12" i="3" s="1"/>
  <c r="O18" i="67"/>
  <c r="AK23" i="3" s="1"/>
  <c r="O11" i="67"/>
  <c r="AK16" i="3" s="1"/>
  <c r="C4" i="67"/>
  <c r="O17" i="67"/>
  <c r="AK22" i="3" s="1"/>
  <c r="O20" i="67"/>
  <c r="AK25" i="3" s="1"/>
  <c r="O13" i="67"/>
  <c r="AK18" i="3" s="1"/>
  <c r="O16" i="67"/>
  <c r="AK21" i="3" s="1"/>
  <c r="O9" i="67"/>
  <c r="AK14" i="3" s="1"/>
  <c r="O4" i="67" l="1"/>
  <c r="AK9" i="3" s="1"/>
  <c r="AK29" i="3"/>
</calcChain>
</file>

<file path=xl/sharedStrings.xml><?xml version="1.0" encoding="utf-8"?>
<sst xmlns="http://schemas.openxmlformats.org/spreadsheetml/2006/main" count="2927" uniqueCount="561">
  <si>
    <t>FONDO GENERAL DE PARTICIPACIONES</t>
  </si>
  <si>
    <t>ENERO</t>
  </si>
  <si>
    <t>FEBRERO</t>
  </si>
  <si>
    <t>MARZO</t>
  </si>
  <si>
    <t>ABRIL</t>
  </si>
  <si>
    <t>MAYO</t>
  </si>
  <si>
    <t>JUNIO</t>
  </si>
  <si>
    <t>JULIO</t>
  </si>
  <si>
    <t>AGOSTO</t>
  </si>
  <si>
    <t>SEPTIEMBRE</t>
  </si>
  <si>
    <t>OCTUBRE</t>
  </si>
  <si>
    <t>NOVIEMBRE</t>
  </si>
  <si>
    <t>DICIEMBRE</t>
  </si>
  <si>
    <t>MUNICIPIO</t>
  </si>
  <si>
    <t xml:space="preserve">Factor de Distribuciòn </t>
  </si>
  <si>
    <t>Primera parte del Coeficiente 60% (relativa a Poblaciòn)</t>
  </si>
  <si>
    <t>Segunda parte del fondo 30% (relativa a Recaudación)</t>
  </si>
  <si>
    <t>Suma de Asignaciones</t>
  </si>
  <si>
    <t>Tercera parte del fondo 10% (relativa a Resarcitoria)</t>
  </si>
  <si>
    <t>IMPORTE</t>
  </si>
  <si>
    <t>Distribuido</t>
  </si>
  <si>
    <t xml:space="preserve">Población </t>
  </si>
  <si>
    <t>Coeficiente</t>
  </si>
  <si>
    <t xml:space="preserve">coeficiente </t>
  </si>
  <si>
    <t>Distribucion</t>
  </si>
  <si>
    <t>Recaudacion Agua Potable y Predial</t>
  </si>
  <si>
    <t>Coeficiente de Participacion</t>
  </si>
  <si>
    <t>Distribucion del FGP</t>
  </si>
  <si>
    <t>Porcentaje que representa</t>
  </si>
  <si>
    <t>Coeficiente 3</t>
  </si>
  <si>
    <t>en</t>
  </si>
  <si>
    <t xml:space="preserve">de </t>
  </si>
  <si>
    <t>efectivo</t>
  </si>
  <si>
    <t>del FGP</t>
  </si>
  <si>
    <t>de Participaciòn</t>
  </si>
  <si>
    <t>Resarcitorio</t>
  </si>
  <si>
    <t>2014</t>
  </si>
  <si>
    <t>Relativa</t>
  </si>
  <si>
    <t>Absoluta</t>
  </si>
  <si>
    <t>Participacion</t>
  </si>
  <si>
    <t>2014/2013</t>
  </si>
  <si>
    <t>C 2</t>
  </si>
  <si>
    <t>resarcitoria</t>
  </si>
  <si>
    <t>Inverso en $</t>
  </si>
  <si>
    <t>$</t>
  </si>
  <si>
    <t>Acaponeta</t>
  </si>
  <si>
    <t>Ahuacatlán</t>
  </si>
  <si>
    <t>Amatlán de Cañas</t>
  </si>
  <si>
    <t>Bahía de Banderas</t>
  </si>
  <si>
    <t>Compostela</t>
  </si>
  <si>
    <t>El Nayar</t>
  </si>
  <si>
    <t>Huajicori</t>
  </si>
  <si>
    <t>Ixtlán del Río</t>
  </si>
  <si>
    <t>Jala</t>
  </si>
  <si>
    <t>La Yesca</t>
  </si>
  <si>
    <t>Rosamorada</t>
  </si>
  <si>
    <t>Ruiz</t>
  </si>
  <si>
    <t>San Blas</t>
  </si>
  <si>
    <t>San Pedro Lagunillas</t>
  </si>
  <si>
    <t>Santa María del Oro</t>
  </si>
  <si>
    <t>Santiago Ixcuintla</t>
  </si>
  <si>
    <t>Tecuala</t>
  </si>
  <si>
    <t>Tepic</t>
  </si>
  <si>
    <t>Tuxpan</t>
  </si>
  <si>
    <t>Xalisco</t>
  </si>
  <si>
    <t>Totales</t>
  </si>
  <si>
    <t>COEFICIENTE 1</t>
  </si>
  <si>
    <t>COEFICIENTE 2</t>
  </si>
  <si>
    <t>COEFCIENTE 3</t>
  </si>
  <si>
    <t>Población</t>
  </si>
  <si>
    <t>(1)</t>
  </si>
  <si>
    <t>(3)</t>
  </si>
  <si>
    <t>(4)(3=4/∑4)100</t>
  </si>
  <si>
    <t>(5)</t>
  </si>
  <si>
    <t>(7)</t>
  </si>
  <si>
    <t>(8)</t>
  </si>
  <si>
    <t>(9)</t>
  </si>
  <si>
    <t>(10)(9=10/∑10)100</t>
  </si>
  <si>
    <t>(11)</t>
  </si>
  <si>
    <t>(17)</t>
  </si>
  <si>
    <t>FUENTES.</t>
  </si>
  <si>
    <t>Convenio</t>
  </si>
  <si>
    <t>Total</t>
  </si>
  <si>
    <t>Municipios</t>
  </si>
  <si>
    <t>Factor de</t>
  </si>
  <si>
    <t>relativa</t>
  </si>
  <si>
    <t>Total Distribucion</t>
  </si>
  <si>
    <t>Distribución</t>
  </si>
  <si>
    <t>%</t>
  </si>
  <si>
    <t>del crecimiento</t>
  </si>
  <si>
    <t>absoluta</t>
  </si>
  <si>
    <t>del F.F.M.</t>
  </si>
  <si>
    <t>(2)</t>
  </si>
  <si>
    <t>(4)</t>
  </si>
  <si>
    <t>(5= 70%/2 x 4)</t>
  </si>
  <si>
    <t>(6)</t>
  </si>
  <si>
    <t>(8=70%/2*7)</t>
  </si>
  <si>
    <t>(10)</t>
  </si>
  <si>
    <t>(12=30%*10)</t>
  </si>
  <si>
    <t>(13=5+8+11)</t>
  </si>
  <si>
    <t>(13=2+9+12)</t>
  </si>
  <si>
    <t>determinado</t>
  </si>
  <si>
    <t>corregido</t>
  </si>
  <si>
    <t>diferencia</t>
  </si>
  <si>
    <t>PUBLICADO</t>
  </si>
  <si>
    <t>DIFERENCIA</t>
  </si>
  <si>
    <t>PIBLICADO</t>
  </si>
  <si>
    <t>No</t>
  </si>
  <si>
    <t>Si</t>
  </si>
  <si>
    <t>NO</t>
  </si>
  <si>
    <t>SI</t>
  </si>
  <si>
    <t>CUADRO COMPARATIVO CON EL CAMBIO DE FORMULAS</t>
  </si>
  <si>
    <t xml:space="preserve">Distribuido </t>
  </si>
  <si>
    <t xml:space="preserve">Crecimiento </t>
  </si>
  <si>
    <t xml:space="preserve">Total con la </t>
  </si>
  <si>
    <t>Diferencias</t>
  </si>
  <si>
    <t xml:space="preserve">en </t>
  </si>
  <si>
    <t>del fondo en</t>
  </si>
  <si>
    <t>FFM a Mpios</t>
  </si>
  <si>
    <t>formula del</t>
  </si>
  <si>
    <t xml:space="preserve">en formulas </t>
  </si>
  <si>
    <t>2014 (100%)</t>
  </si>
  <si>
    <t>2014 (70%)</t>
  </si>
  <si>
    <t>2015 (70%)</t>
  </si>
  <si>
    <t>en 2015</t>
  </si>
  <si>
    <t>2015-2014</t>
  </si>
  <si>
    <t>(6=3+4)</t>
  </si>
  <si>
    <t>Esfuerzo Recaudatorio</t>
  </si>
  <si>
    <t>(6 = 4*5)</t>
  </si>
  <si>
    <t>(7=(6/∑6)100)</t>
  </si>
  <si>
    <t>(9=2+8)</t>
  </si>
  <si>
    <t>modificado</t>
  </si>
  <si>
    <t>Porcentaje</t>
  </si>
  <si>
    <t>Coeficiente 1</t>
  </si>
  <si>
    <t>Coeficiente 2</t>
  </si>
  <si>
    <t xml:space="preserve">Suma de </t>
  </si>
  <si>
    <t>Efectivo</t>
  </si>
  <si>
    <t>Coeficientes</t>
  </si>
  <si>
    <t xml:space="preserve">Relativa </t>
  </si>
  <si>
    <t>5=(2+4)</t>
  </si>
  <si>
    <t xml:space="preserve">ACAPONETA </t>
  </si>
  <si>
    <t>AHUACATLAN</t>
  </si>
  <si>
    <t>AMATLAN DE CAÑAS</t>
  </si>
  <si>
    <t>BAHÍA DE BANDERAS</t>
  </si>
  <si>
    <t>COMPOSTELA</t>
  </si>
  <si>
    <t>DEL NAYAR</t>
  </si>
  <si>
    <t>HUAJICORI</t>
  </si>
  <si>
    <t>IXTLAN DEL RIO</t>
  </si>
  <si>
    <t>JALA</t>
  </si>
  <si>
    <t>LA YESCA</t>
  </si>
  <si>
    <t>ROSAMORADA</t>
  </si>
  <si>
    <t>RUIZ</t>
  </si>
  <si>
    <t>SAN BLAS</t>
  </si>
  <si>
    <t>SAN PEDRO LAG.</t>
  </si>
  <si>
    <t>STA. MARIA DEL ORO</t>
  </si>
  <si>
    <t>SANTIAGO IXCUINTLA</t>
  </si>
  <si>
    <t>TECUALA</t>
  </si>
  <si>
    <t>TEPIC</t>
  </si>
  <si>
    <t>TUXPAN</t>
  </si>
  <si>
    <t>XALISCO</t>
  </si>
  <si>
    <t>TOTAL</t>
  </si>
  <si>
    <t>fuente:</t>
  </si>
  <si>
    <t>para el 2015</t>
  </si>
  <si>
    <t>7=(2+4+6)</t>
  </si>
  <si>
    <t>8</t>
  </si>
  <si>
    <t>Cuadro No. 1</t>
  </si>
  <si>
    <t>Recaudación Federal Participable Aplicable para el Calculo de las Participaciones a los Municipios</t>
  </si>
  <si>
    <t>CONCEPTO</t>
  </si>
  <si>
    <t xml:space="preserve">Fondo General de Participaciones </t>
  </si>
  <si>
    <t>Fondo General de Participaciones base 2014 (recibido y distribuido en el 2014)</t>
  </si>
  <si>
    <t>Crecimiento del Fondo General de Participaciones (1-2)</t>
  </si>
  <si>
    <t>Fondo General de Participaciones base de Distribución por crecimiento (3 x 22.5%)</t>
  </si>
  <si>
    <t>Fondo General de Participaciones Base 2014 con la formula anterior (2 x 22.5%)</t>
  </si>
  <si>
    <t>Suma (5.1 + 5.2 + 5.3) = (3)</t>
  </si>
  <si>
    <t>Fondo de Fomento Municipal</t>
  </si>
  <si>
    <t>Fondo de Fomento Municipal base 2014 (recibido y distribuido en el 2014)</t>
  </si>
  <si>
    <t>Fondo de Fomento Municipal base de Distribución (3 x 100%)</t>
  </si>
  <si>
    <t>Fondo de Fiscalización y Recaudación</t>
  </si>
  <si>
    <t>Fondo de Fiscalización base 2014 (recibido y distribuido en el 2014)</t>
  </si>
  <si>
    <t>Fondo de Compensacion</t>
  </si>
  <si>
    <t xml:space="preserve">Fondo del Impuesto sobre la Renta </t>
  </si>
  <si>
    <t>Fondo de Impuesto sobre la renta 2014 (recibido y distribuido en el 2014)</t>
  </si>
  <si>
    <t>Impuesto especial sobre producción y servicios (Tabaco y Alcohol)</t>
  </si>
  <si>
    <t>Impuesto Especial s/Produccion y Servicios base (2014 (recibido y distribuido en el 2014)</t>
  </si>
  <si>
    <t>Impuesto especial sobre producción y servicios por Gasolina y Diesel</t>
  </si>
  <si>
    <t>Impuesto sobre Automoviles Nuevos ISAN</t>
  </si>
  <si>
    <t>Fondo de Compensacion sobre el ISAN</t>
  </si>
  <si>
    <r>
      <rPr>
        <b/>
        <sz val="11"/>
        <color theme="1"/>
        <rFont val="Arial"/>
        <family val="2"/>
      </rPr>
      <t>Población:</t>
    </r>
    <r>
      <rPr>
        <sz val="11"/>
        <color theme="1"/>
        <rFont val="Arial"/>
        <family val="2"/>
      </rPr>
      <t xml:space="preserve"> Censo Nacional de Población y Vivienda 2010 de INEGI</t>
    </r>
  </si>
  <si>
    <t>Estimado en 2014</t>
  </si>
  <si>
    <t>(9)(8/7)</t>
  </si>
  <si>
    <t>Variación</t>
  </si>
  <si>
    <t>Coeficiente de Participación Relativa</t>
  </si>
  <si>
    <t>Correspondiente al 60% del Crecimiento    (6)</t>
  </si>
  <si>
    <t>Coeficiente  Resarcitorio Efectivo       10%</t>
  </si>
  <si>
    <t>Cuadro No. 2</t>
  </si>
  <si>
    <t>Cálculo del Coeficiente de Participación Segunda Parte del Fondo General de Participaciones (30%)</t>
  </si>
  <si>
    <t>2016/2017</t>
  </si>
  <si>
    <t>(2=(1/∑1)100)</t>
  </si>
  <si>
    <t>(3=(30%*2)</t>
  </si>
  <si>
    <t>Cuadro No. 3</t>
  </si>
  <si>
    <t>Cálculo del Coeficiente de Participación Tercera Parte del Fondo General de Participaciones (10%)</t>
  </si>
  <si>
    <t>Coeficiente No. 1</t>
  </si>
  <si>
    <t>Coeficiente No. 2</t>
  </si>
  <si>
    <t>Suma de</t>
  </si>
  <si>
    <t>Asignaciones</t>
  </si>
  <si>
    <t>que</t>
  </si>
  <si>
    <t>de Participacion</t>
  </si>
  <si>
    <t xml:space="preserve">Distribucion </t>
  </si>
  <si>
    <t xml:space="preserve">Asignación </t>
  </si>
  <si>
    <t>Asignacion</t>
  </si>
  <si>
    <t>Representan</t>
  </si>
  <si>
    <t>F.G.P.</t>
  </si>
  <si>
    <t xml:space="preserve">(1) </t>
  </si>
  <si>
    <r>
      <rPr>
        <b/>
        <sz val="11"/>
        <color theme="1"/>
        <rFont val="Arial"/>
        <family val="2"/>
      </rPr>
      <t>Recaudacion:</t>
    </r>
    <r>
      <rPr>
        <sz val="11"/>
        <color theme="1"/>
        <rFont val="Arial"/>
        <family val="2"/>
      </rPr>
      <t xml:space="preserve"> Indetec</t>
    </r>
  </si>
  <si>
    <t>Población: Censo Nacional de Población y Vivienda 2010 de INEGI</t>
  </si>
  <si>
    <t>Cuadro para estimar la distribucion inversa en $</t>
  </si>
  <si>
    <t>Municipio</t>
  </si>
  <si>
    <t>Inversa</t>
  </si>
  <si>
    <t>Directa</t>
  </si>
  <si>
    <t>F.G.P. a Mpios</t>
  </si>
  <si>
    <t>Distribución  del C1</t>
  </si>
  <si>
    <t>Distribución  del C2</t>
  </si>
  <si>
    <t>Distribución  del C3</t>
  </si>
  <si>
    <t>Factor de Distribución 2014</t>
  </si>
  <si>
    <t>Coeficiente de Participación</t>
  </si>
  <si>
    <t xml:space="preserve">Suma de Asignaciones </t>
  </si>
  <si>
    <t>(12)</t>
  </si>
  <si>
    <t>Correspondiente al 30% del Crecimiento</t>
  </si>
  <si>
    <t>(13)</t>
  </si>
  <si>
    <t>(14)</t>
  </si>
  <si>
    <t>Porcentaje que Representa los Coeficiente C1 Y C2</t>
  </si>
  <si>
    <t>(15)</t>
  </si>
  <si>
    <t>Inversa Proporcional</t>
  </si>
  <si>
    <t>Porcentaje que Representa la Inversa Proporcional</t>
  </si>
  <si>
    <t>(16)</t>
  </si>
  <si>
    <t>(18)</t>
  </si>
  <si>
    <t>Correspondiente al 10% del Crecimiento</t>
  </si>
  <si>
    <t>Recaudación del Impuesto Predial y Derechos de Suministro de Agua</t>
  </si>
  <si>
    <t xml:space="preserve">Total             </t>
  </si>
  <si>
    <t>(19)</t>
  </si>
  <si>
    <t>Predial</t>
  </si>
  <si>
    <t>Recaudación Predial y Agua Último Ejercicio</t>
  </si>
  <si>
    <t>Resultado Variación por Población</t>
  </si>
  <si>
    <t>Esfuerzo Recaudatorio Último Ejercicio</t>
  </si>
  <si>
    <t>Distribuido en 2014</t>
  </si>
  <si>
    <t>Información Utilizada para la Determinación de los Porcentajes de Distribución de Participaciones</t>
  </si>
  <si>
    <t>Recaudación Predial y Agua ($)</t>
  </si>
  <si>
    <t>Agua</t>
  </si>
  <si>
    <t>Fondo General de Participaciones</t>
  </si>
  <si>
    <t>Coeficiente Efectivo</t>
  </si>
  <si>
    <t>Importe</t>
  </si>
  <si>
    <t>Componente solo para los que Suscribieron Convenio para el Cobro de Predial</t>
  </si>
  <si>
    <t>Estimación del Fondo de Compensación del Impuesto Sobre Automóviles Nuevos</t>
  </si>
  <si>
    <t>Estimación de los Incentivos por el Impuesto Sobre Automóviles Nuevos</t>
  </si>
  <si>
    <t>GOBIERNO DEL ESTADO DE NAYARIT</t>
  </si>
  <si>
    <t>SECRETARIA DE ADMINISTRACION Y FINANZAS</t>
  </si>
  <si>
    <t>DIRECCION GENERAL DE PARTICIPACIONES FEDERALES</t>
  </si>
  <si>
    <t>FACTOR DE DISTRIB.</t>
  </si>
  <si>
    <t>ACAPONETA</t>
  </si>
  <si>
    <t xml:space="preserve">BAHIA DE </t>
  </si>
  <si>
    <t>EL NAYAR</t>
  </si>
  <si>
    <t>SAN PEDRO LAGS</t>
  </si>
  <si>
    <t>SANTA MA DEL ORO</t>
  </si>
  <si>
    <t>SANTIAGO</t>
  </si>
  <si>
    <t>T  O  T  A  L</t>
  </si>
  <si>
    <t xml:space="preserve">Las cifras parciales pueden no coincidir con el total debido al redondeo </t>
  </si>
  <si>
    <t>FUENTE:</t>
  </si>
  <si>
    <t>Monto estimado conforme a Ley de Ingresos del estado Libre y Soberano de Nayarit Publicada y Distribuida conforme al Decreto que determinan los factores de Distribucón de las Participaciones y Aportaciones que en Ingresos Federales corresponden a los Municipios de la Entidad para el Ejercicio del año 2014. Publicado el 13 de Diciembre de 2013</t>
  </si>
  <si>
    <t>Factor de Distribución</t>
  </si>
  <si>
    <t>FFM Estimado</t>
  </si>
  <si>
    <t>FUNTES:</t>
  </si>
  <si>
    <t>Las cifras parciales pueden no coincidir con el total debido al redondeo.</t>
  </si>
  <si>
    <t xml:space="preserve">PREDIAL Y AGUA.-Cifras validadas de acuerdo con las reglas 17 al 20 de las reglas de validación de la información para el Cálculo de los Coeficientes de Distribución de las Participaciones Federales con base en el artículo 2 de la Ley de Coordinación Fiscal </t>
  </si>
  <si>
    <r>
      <rPr>
        <b/>
        <i/>
        <sz val="9"/>
        <color theme="1"/>
        <rFont val="Arial"/>
        <family val="2"/>
      </rPr>
      <t>ESTIMACION 2014.-</t>
    </r>
    <r>
      <rPr>
        <i/>
        <sz val="9"/>
        <color theme="1"/>
        <rFont val="Arial"/>
        <family val="2"/>
      </rPr>
      <t xml:space="preserve">  ACUERDO POR EL QUE SE DA A CONOCER EL CALENDARIO DE ENTREGA, PORCENTAJE Y MONTOS ESTIMADOS, QUE RECIBIRAN CADA UNO DE LOS VEINTE MUNICIPIOS DEL ESTADO DE NAYARIT, DEL FONDO GENERAL DE PARTICIPACIONES Y DEL FONDO DE FOMENTO MUNICIPAL PARA EL EJERCICIO FISCAL 2014 PUBLICADO EL 14 DE FEBRERO DE 2014.</t>
    </r>
  </si>
  <si>
    <r>
      <rPr>
        <b/>
        <i/>
        <sz val="9"/>
        <color theme="1"/>
        <rFont val="Arial"/>
        <family val="2"/>
      </rPr>
      <t>PREDIAL Y AGUA.-</t>
    </r>
    <r>
      <rPr>
        <i/>
        <sz val="9"/>
        <color theme="1"/>
        <rFont val="Arial"/>
        <family val="2"/>
      </rPr>
      <t xml:space="preserve"> Cifras validadas de acuerdo con las reglas 17 al 20 de las reglas de validación de la información para el Cálculo de los Coeficientes de Distribución de las Participaciones Federales con base en el artículo 2 de la Ley de Coordinación Fiscal </t>
    </r>
  </si>
  <si>
    <t>(5=2+4)</t>
  </si>
  <si>
    <t>Participaciones Específicas en el Impuesto Especial Sobre Producción y Servicios</t>
  </si>
  <si>
    <t>FUENTES:</t>
  </si>
  <si>
    <t>Suma (10.1 + 10.2) = (10)</t>
  </si>
  <si>
    <t>MES</t>
  </si>
  <si>
    <t>FONDO DE FOMENTO MUNICIPAL</t>
  </si>
  <si>
    <t>FECHA LIMITE DE ENTREGA</t>
  </si>
  <si>
    <t>IMPUESTO ESPECIAL SOBRE PRODUCCION Y SERVICIOS</t>
  </si>
  <si>
    <t>FONDO DE FISCALIZACION Y RECAUDACION</t>
  </si>
  <si>
    <t>FONDO DE COMPENSACIÓN DEL IMPUESTO SOBRE AUTOMOVILES NUEVOS</t>
  </si>
  <si>
    <t>DISTRIBUCIÓN A MUNICIPIOS POR PARTICIPACION FEDERAL DEL FONDO DE COMPENSACION DE ISAN EJERCICIO 2020</t>
  </si>
  <si>
    <t>AYUNTAMIENTO</t>
  </si>
  <si>
    <t>A MUNICIPIOS</t>
  </si>
  <si>
    <t>MUNICIPIOS</t>
  </si>
  <si>
    <t>PARTICIPACION 2017</t>
  </si>
  <si>
    <t>INCREMENTO</t>
  </si>
  <si>
    <t xml:space="preserve">MUNICIPIO </t>
  </si>
  <si>
    <t>DISTRIBUCIÓN A MUNICIPIOS POR PARTICIPACION FEDERAL DEL FONDO DE COMPENSACION EJERCICIO 2014</t>
  </si>
  <si>
    <t>DISTRIBUCIÓN A MUNICIPIOS POR PARTICIPACION FEDERAL DEL FONDO DE FISCALIZACION INCRMENTO</t>
  </si>
  <si>
    <t>DISTRIBUCIÓN A MUNICIPIOS POR PARTICIPACION FEDERAL DEL FONDO DE FISCALIZACION EJERCICIO 2014</t>
  </si>
  <si>
    <t>PARTICIPACION A MUNICIPIOS</t>
  </si>
  <si>
    <t>DISTRIBUCIÓN A MUNICIPIOS  INCENTIVO POR VENTA DE GASOLINA Y DIESEL 2014</t>
  </si>
  <si>
    <t>PARTICIPACION AMPIO</t>
  </si>
  <si>
    <t>DISTRIBUCIÓN A MUNICIPIOS  I.E.P.S. 2014</t>
  </si>
  <si>
    <t>DISTRIBUCIÓN A MUNICIPIOS POR PARTICIPACION FEDERAL DEL FONDO DE FOMENTO MUNICIPAL EJERCICIO 2014</t>
  </si>
  <si>
    <t>ESTIMACION</t>
  </si>
  <si>
    <t>FACTOR DE DISTRIB. 70%</t>
  </si>
  <si>
    <t xml:space="preserve">DISTRIBUCIÓN A MUNICIPIOS POR PARTICIPACION FEDERAL DEL FONDO GENERAL DE PARTICIPACIONES POR INCREMENTO </t>
  </si>
  <si>
    <t>PARTICIPACION MUNICIPIOS</t>
  </si>
  <si>
    <t>ESTIMACIONES 2014</t>
  </si>
  <si>
    <t>DISTRIBUCIÓN A MUNICIPIOS POR PARTICIPACION FEDERAL DEL FONDO GENERAL DE PARTICIPACIONES EJERCICIO 2014</t>
  </si>
  <si>
    <t xml:space="preserve"> </t>
  </si>
  <si>
    <t>Población                                2020</t>
  </si>
  <si>
    <t>Censo  de Población y Vivienda  2020</t>
  </si>
  <si>
    <t>Censo de Población y Vivienda 2020 Publicada en el Portal del INEGI 25 de Enero del 2021</t>
  </si>
  <si>
    <t>Población 2020</t>
  </si>
  <si>
    <t>ISR BIENES INMUEBLES</t>
  </si>
  <si>
    <t>IMPUESTO SOBRE LA RENTA</t>
  </si>
  <si>
    <t>IMPUESTO SOBRE AUTOMOVILES NUEVOS</t>
  </si>
  <si>
    <r>
      <rPr>
        <b/>
        <i/>
        <sz val="9"/>
        <color theme="1"/>
        <rFont val="Arial"/>
        <family val="2"/>
      </rPr>
      <t xml:space="preserve"> POBLACION.-</t>
    </r>
    <r>
      <rPr>
        <i/>
        <sz val="9"/>
        <color theme="1"/>
        <rFont val="Arial"/>
        <family val="2"/>
      </rPr>
      <t xml:space="preserve"> Censo de Población y Vivienda 2020. publicado el 25 de enero de 2021 en el Portal del INEGI </t>
    </r>
  </si>
  <si>
    <r>
      <rPr>
        <b/>
        <sz val="9"/>
        <color theme="1"/>
        <rFont val="Arial"/>
        <family val="2"/>
      </rPr>
      <t>ESTIMACION 2014.-</t>
    </r>
    <r>
      <rPr>
        <sz val="9"/>
        <color theme="1"/>
        <rFont val="Arial"/>
        <family val="2"/>
      </rPr>
      <t xml:space="preserve">  ACUERDO POR EL QUE SE DA A CONOCER EL CALENDARIO DE ENTREGA, PORCENTAJE Y MONTOS ESTIMADOS, QUE RECIBIRAN CADA UNO DE LOS VEINTE MUNICIPIOS DEL ESTADO DE NAYARIT, DEL FONDO GENERAL DE PARTICIPACIONES Y DEL FONDO DE FOMENTO MUNICIPAL PARA EL EJERCICIO FISCAL 2014 PUBLICADO EL 14 DE FEBRERO DE 2014.</t>
    </r>
  </si>
  <si>
    <r>
      <rPr>
        <b/>
        <sz val="9"/>
        <color theme="1"/>
        <rFont val="Arial"/>
        <family val="2"/>
      </rPr>
      <t>PREDIAL Y AGUA.-</t>
    </r>
    <r>
      <rPr>
        <sz val="9"/>
        <color theme="1"/>
        <rFont val="Arial"/>
        <family val="2"/>
      </rPr>
      <t xml:space="preserve"> Cifras validadas de acuerdo con las reglas 17 al 20 de las reglas de validación de la información para el Cálculo de los Coeficientes de Distribución de las Participaciones Federales con base en el artículo 2 de la Ley de Coordinación Fiscal </t>
    </r>
  </si>
  <si>
    <r>
      <rPr>
        <b/>
        <sz val="9"/>
        <color theme="1"/>
        <rFont val="Arial"/>
        <family val="2"/>
      </rPr>
      <t>POBLACION.-</t>
    </r>
    <r>
      <rPr>
        <sz val="9"/>
        <color theme="1"/>
        <rFont val="Arial"/>
        <family val="2"/>
      </rPr>
      <t xml:space="preserve"> Censo de Población y Vivienda 2020. publicado el 25 de enero de 2021 en el Portal del INEGI </t>
    </r>
  </si>
  <si>
    <t xml:space="preserve">POBLACION.- Censo de Población y Vivienda 2020. publicado el 25 de enero de 2021 en el Portal del INEGI </t>
  </si>
  <si>
    <r>
      <t xml:space="preserve">POBLACION.- </t>
    </r>
    <r>
      <rPr>
        <i/>
        <sz val="9"/>
        <color theme="1"/>
        <rFont val="Arial"/>
        <family val="2"/>
      </rPr>
      <t>Censo de Población y Vivienda 2020. publicado el 25 de enero de 2021 en el Portal del INEGI</t>
    </r>
    <r>
      <rPr>
        <b/>
        <i/>
        <sz val="9"/>
        <color theme="1"/>
        <rFont val="Arial"/>
        <family val="2"/>
      </rPr>
      <t xml:space="preserve"> </t>
    </r>
  </si>
  <si>
    <t>Calendarización del Calculo de distribución  de la estimación  del Fondo General de Participaciones de 2020</t>
  </si>
  <si>
    <t>Calendarización del Calculo de distribución  de la estimación del Fondo de Fomento Municipal de 2020</t>
  </si>
  <si>
    <t>Calendarización del Calculo de distribución de la estimación de Nuevas Potestades (Gasolinas y Diesel) 2020</t>
  </si>
  <si>
    <t xml:space="preserve">Calendarización del Calculo de distribución de la estimación del Fondo de Fiscalización y Recaudación de 2020 </t>
  </si>
  <si>
    <t>Calendarizacion del Calculo de distribución de la estimación de los Incentivos por el Impuesto Sobre Automóviles Nuevos de 2020</t>
  </si>
  <si>
    <t>RAMO GENERAL 28: PARTICIPACIONES A ENTIDADES FEDERATIVAS Y MUNICIPIOS</t>
  </si>
  <si>
    <t>ANUAL</t>
  </si>
  <si>
    <t>GARANTIZADA 2014</t>
  </si>
  <si>
    <t>EXCEDENTE</t>
  </si>
  <si>
    <t>IMPUESTO PREDIAL URBANO, IMPUESTO PREDIAL RUSTICO E IMPUESTO SOBRE ADQUISICION DE BIENES INMUEBLES. (SE PARTICIPA EL 100%)</t>
  </si>
  <si>
    <t>SUMA TOTAL</t>
  </si>
  <si>
    <t>TOTAL GENENRAL RECIBIDO</t>
  </si>
  <si>
    <t>TOTAL GENERAL DISTRIBUIDO</t>
  </si>
  <si>
    <t>CORRESPONDIENTE AL 60% DEL CRECIMIENTO</t>
  </si>
  <si>
    <t>CORRESPONDIENTE AL 30% DEL CRECIMIENTO</t>
  </si>
  <si>
    <t>Porcentaje que representa los coeficiente C1 Y C2</t>
  </si>
  <si>
    <t>Porcentaje que representa la inversa proporcional         (16)</t>
  </si>
  <si>
    <t>CORRESPONDIENTE AL 10% DEL CRECIMIENTO</t>
  </si>
  <si>
    <t>(19)=(2+6+12+18)</t>
  </si>
  <si>
    <t>Las cifras pueden no coincidir por el redondeo</t>
  </si>
  <si>
    <r>
      <t>POBLACIÓN</t>
    </r>
    <r>
      <rPr>
        <sz val="11"/>
        <color theme="1"/>
        <rFont val="Calibri"/>
        <family val="2"/>
        <scheme val="minor"/>
      </rPr>
      <t xml:space="preserve">.- Censo de Población y Vivienda 2020. publicado el 25 de enero de 2021 en el Portal del INEGI </t>
    </r>
  </si>
  <si>
    <r>
      <t>PREDIAL Y AGUA.-</t>
    </r>
    <r>
      <rPr>
        <sz val="11"/>
        <color theme="1"/>
        <rFont val="Calibri"/>
        <family val="2"/>
        <scheme val="minor"/>
      </rPr>
      <t xml:space="preserve">Cifras validadas de acuerdo con las reglas 17 al 20 de las reglas de validacion de la información para el cálculo de los coeficientes de Distribución de las Participaciones Federales con base en el articulo 2 de la Ley de Coordinación Fiscal </t>
    </r>
  </si>
  <si>
    <t>Suma (6.1 + 6.2 + 6.3) = (3)</t>
  </si>
  <si>
    <t>(INCREMENTO 2022)</t>
  </si>
  <si>
    <t>Calendarización del Calculo de distribución  de la estimación del Impuesto Especial Sobre Producción y Servicios de 2022</t>
  </si>
  <si>
    <t>No.</t>
  </si>
  <si>
    <t>FACTOR</t>
  </si>
  <si>
    <t xml:space="preserve">DE </t>
  </si>
  <si>
    <t>REC</t>
  </si>
  <si>
    <t>BAHIA DE BANDERAS</t>
  </si>
  <si>
    <t>SAN PEDRO LAGUINILLAS</t>
  </si>
  <si>
    <t>SANTA MARIA DEL ORO</t>
  </si>
  <si>
    <t>DISTRIBUCION DE PARTICIPACIONES DEL ISR DE ENAJENACION DE BIENES 2021</t>
  </si>
  <si>
    <t>ISR A CARGO POR AVANCE DEL POA DE METODOS SUSTANTIVOS ANUAL DE 2020</t>
  </si>
  <si>
    <t>ISR ENAJ 2021</t>
  </si>
  <si>
    <t>ISR ENAJENACION 2021</t>
  </si>
  <si>
    <t>RECAUDACION MPIOS.</t>
  </si>
  <si>
    <t>DOF-20/12/2021</t>
  </si>
  <si>
    <t>ISR ENAJENACION 2022</t>
  </si>
  <si>
    <t>FACTOR DE DISTRIB. 2022</t>
  </si>
  <si>
    <t>ISR Enajenación de Bienes</t>
  </si>
  <si>
    <t xml:space="preserve">ISR </t>
  </si>
  <si>
    <t xml:space="preserve">Coeficiente de Participación </t>
  </si>
  <si>
    <t xml:space="preserve">MUNICIPIOS </t>
  </si>
  <si>
    <t>DOF-19/12/2022</t>
  </si>
  <si>
    <t>Fondo General de Participaciones base  2014 (recibido y distribuido en el 2014)</t>
  </si>
  <si>
    <t>(7=2+4+6)</t>
  </si>
  <si>
    <t>Impuesto sobre Automoviles Nuevos</t>
  </si>
  <si>
    <t>Impuesto sobre Automoviles Nuevos base de distribución</t>
  </si>
  <si>
    <t xml:space="preserve">6.1 Primera parte 60% </t>
  </si>
  <si>
    <t>6.2 Segunda parte 30%</t>
  </si>
  <si>
    <t>6.3 Tercera parte 10%</t>
  </si>
  <si>
    <t>Total Fondo de Compensación sobre el ISAN a distribuir (6.1+6.2+6.3)</t>
  </si>
  <si>
    <t xml:space="preserve">6.3 Tercera parte 10% </t>
  </si>
  <si>
    <t>Total del Impuesto Sobre Automoviles Nuevos a distribuir (6.1+6.2+6.3)</t>
  </si>
  <si>
    <t>Fondo de Compensación sobre el ISAN base  de distribución</t>
  </si>
  <si>
    <t>(3=(∑3*2)/100)</t>
  </si>
  <si>
    <t>(2=(1/∑1)*100)</t>
  </si>
  <si>
    <t>FACTOR DE DISTRIB. 2024</t>
  </si>
  <si>
    <t>Total a Distribuir por Crecimiento</t>
  </si>
  <si>
    <t>Absoluta No. de Habitantes</t>
  </si>
  <si>
    <t xml:space="preserve">Crecimiento del FOFIR </t>
  </si>
  <si>
    <t xml:space="preserve">Crecimiento del IEPS  </t>
  </si>
  <si>
    <t>Fondo General de Participaciones crecimiento 2025 (3-4)</t>
  </si>
  <si>
    <t>DISTRIBUCION DE PARTICIPACIONES DEL IMPUESTO SOBRE LA RENTA EJERCICIO 2025</t>
  </si>
  <si>
    <t>SUMA DE COEFICIENTES  EFECTIVOS  PARA 2025</t>
  </si>
  <si>
    <t>FACTOR DE DISTRIBUCION</t>
  </si>
  <si>
    <t>Venta Final de Gasolina y Diesel</t>
  </si>
  <si>
    <t>VENTA FINAL DE GASOLINA Y DIESEL Y FONDO DE COMPENSACIÓN (EN TANTO EL ESTADO  LO RECIBA)</t>
  </si>
  <si>
    <t>COMPONENTE DEL 70%</t>
  </si>
  <si>
    <t>COMPONENTE DEL 30%</t>
  </si>
  <si>
    <t>Las cifras parciales pueden no coincidir con el total debido al redondeo</t>
  </si>
  <si>
    <t>(2= 1*.70)</t>
  </si>
  <si>
    <t>(3 = Inv de 1)</t>
  </si>
  <si>
    <t>(4=3/∑3)100</t>
  </si>
  <si>
    <t>(5=4*.30)</t>
  </si>
  <si>
    <t>Factor de Población Factor Directo</t>
  </si>
  <si>
    <t>Factor Inverso a la Población</t>
  </si>
  <si>
    <t>Porcentaje Inverso</t>
  </si>
  <si>
    <t>Coeficiente Efectivo Inverso a Población (30%)</t>
  </si>
  <si>
    <t>Coeficiente Efectivo por Población (70%)</t>
  </si>
  <si>
    <t>Distribución por Predial y Agua 35%</t>
  </si>
  <si>
    <t>Fondo de Compensación</t>
  </si>
  <si>
    <t>Población Censo 2020 Absoluta</t>
  </si>
  <si>
    <t>Coeficiente Efectivo 60%</t>
  </si>
  <si>
    <t>Coeficiente Efectivo 30%</t>
  </si>
  <si>
    <t>Distribución por Población 35%</t>
  </si>
  <si>
    <t>Distribucion por Predial 30%</t>
  </si>
  <si>
    <t xml:space="preserve">Coeficiente Efectivo 60% </t>
  </si>
  <si>
    <t xml:space="preserve">Total </t>
  </si>
  <si>
    <t xml:space="preserve"> FONDO GENERAL DE PARTICIPACIONES 2026</t>
  </si>
  <si>
    <t xml:space="preserve"> FONDO DE FOMENTO MUNICIPAL 2026</t>
  </si>
  <si>
    <t>PARTICIPACIONES ESPECIFICAS EN EL IMPUESTO  ESPECIAL SOBRE PRODUCCION Y SERVICIOS 2026</t>
  </si>
  <si>
    <t>POR VENTA  DE GASOLINA Y DIESEL 2026</t>
  </si>
  <si>
    <t xml:space="preserve"> FONDO DE FISCALIZACION Y RECAUDACION 2026</t>
  </si>
  <si>
    <t xml:space="preserve"> FONDO DE COMPENSACION 2026</t>
  </si>
  <si>
    <t>INCENTIVOS POR EL IMPUESTO SOBRE AUTOMOVILES NUEVOS 2026</t>
  </si>
  <si>
    <t>FONDO DE COMPENSACION DE ISAN 2026</t>
  </si>
  <si>
    <t>PARTICIPACION DEL 100% DE LA RECAUDACION ISR 2026</t>
  </si>
  <si>
    <t>FONDO DE COMPENSACION DE REPECOS E INTERMEDIOS 2026</t>
  </si>
  <si>
    <t>OTROS INCENTIVOS DERIVADOS DE LOS CONVENIOS DE COLABORACION ADMINISTRATIVA EN MATERIA FISCAL FEDERAL 2026</t>
  </si>
  <si>
    <t>ISR ENAJENACION DE BIENES 2026</t>
  </si>
  <si>
    <t>INGRESOS MUNICIPAES COORDINADOS 2026</t>
  </si>
  <si>
    <t>FONDO DE APORTACIONES PARA LA INFRAESTRUCTUTA SOCIAL MUNICIPAL (FAIS) 2026</t>
  </si>
  <si>
    <t>FONDO DE APORTACIONES PARA EL FORTALECIMIENTO DE LOS MUNICIPIOS (FORTAMUN) 2026</t>
  </si>
  <si>
    <t>ISR ENAJENACION DE BIENES INMUEBLES 2026</t>
  </si>
  <si>
    <t xml:space="preserve">  PARTICIPACIONES A LA VENTA FINAL DE GASOLINAS Y DIESEL 2026</t>
  </si>
  <si>
    <t xml:space="preserve"> FONDO DE FISCALIZACION  Y RECAUDACION 2026</t>
  </si>
  <si>
    <t>INCENTIVOS POR EL IMPUESTO SOBRE AUTOMOVILES NUEVOS  DE 2026</t>
  </si>
  <si>
    <t>FONDO DE COMPENSACION DEL IMPUESTO SOBRE AUTOMOVILES NUEVOS (ISAN) 2026</t>
  </si>
  <si>
    <t>PARTICIPACIONES POR EL 100% DE LA RECAUDACION DEL ISR QUE SE ENTERE A LA FEDERACION, POR EL SALARIO DEL PERSONAL DE LAS ENTIDADES EN 2026</t>
  </si>
  <si>
    <t>FONDO DE COMPENSACION DE REPECOS E INTERMEDIOS DE 2026</t>
  </si>
  <si>
    <t>Distribución calendarizada  a Municipios por Participación Federal del Fondo General de Participaciones de 2026</t>
  </si>
  <si>
    <t>Distribución calendarizada a Municipios por Participación Federal del Fondo de Fomento Municipal de 2026</t>
  </si>
  <si>
    <t>Distribución calendarizada a Municipios por Participación Federal del Impuesto Especial Sobre Producción y Servicios de 2026</t>
  </si>
  <si>
    <t>Distribución calendarizada a Municipios de Venta Final de Gasolina y Diesel de 2026</t>
  </si>
  <si>
    <t>Distribución calendarizada a Municipios por Participacion Federal del Fondo de Fiscalización de 2026</t>
  </si>
  <si>
    <t>Distribución calendarizada a Municipios de los Incentivos por el Impuesto Sobre Automóviles Nuevos de 2026</t>
  </si>
  <si>
    <t>Distribución calendarizada a Municipios por Participación Federal del Fondo de Compensación del  Impuesto Sobre Automóviles Nuevos de 2026</t>
  </si>
  <si>
    <t>Distribución calendarizada a Municipios por Participación Federal del Impuesto Sobre la Renta de 2026</t>
  </si>
  <si>
    <t>Distribución calendarizada a Municipios por Participación Federal del ISR Enajenación de Bienes de 2026</t>
  </si>
  <si>
    <t>CALENDARIO DE ENTREGA DE PARTICIPACIONES FEDERALES A LOS MUNICIPIOS CORRESPONDIENTE AL EJERCICIO FISCAL 2026</t>
  </si>
  <si>
    <t>Estimación de Participaciones Federales que recibirán cada uno de los veinte Municipios del Estado de Nayarit en el ejercicio Fiscal 2026</t>
  </si>
  <si>
    <t>Cálculo de distribución  de la estimación  del Fondo General de Participaciones de 2026</t>
  </si>
  <si>
    <t xml:space="preserve"> Recaudación de Predial y Agua 2024</t>
  </si>
  <si>
    <t>Recaudación Predial 2024</t>
  </si>
  <si>
    <t>Cálculo de distribución  de la estimación del Fondo de Fomento Municipal de 2026</t>
  </si>
  <si>
    <t>Cálculo de distribución de la estimación del Fondo de Fiscalización y Recaudación de 2026</t>
  </si>
  <si>
    <t>Calculo de distribución de la estimación del Fondo de Compensación a los Municipios de 2026</t>
  </si>
  <si>
    <t>Cálculo de distribución  de la estimación del Impuesto Especial Sobre Producción y Servicios de 2026</t>
  </si>
  <si>
    <t>Factor de Distribución 2026</t>
  </si>
  <si>
    <t>Cálculo de distribución  Venta Final de Gasolina y Diesel de 2026</t>
  </si>
  <si>
    <t>Cálculo de distribución de la estimación de los Incentivos por el Impuesto Sobre Automóviles Nuevos de 2026</t>
  </si>
  <si>
    <t>Cálculo de distribución de la estimación del Fondo de Compensación del  Impuesto Sobre Automóviles Nuevos de 2026</t>
  </si>
  <si>
    <t>Cálculo de la Distribución de ISR Enajenación de Bienes de 2026</t>
  </si>
  <si>
    <t>Ejercicio:                                       2026</t>
  </si>
  <si>
    <t>Fondo General de Participaciones recibido en la Entidad 2026 (determinado por Hacienda)</t>
  </si>
  <si>
    <t>5.1 Primera parte 60% del crecimiento 2026</t>
  </si>
  <si>
    <t>5.2 Segunda parte 30% del crecimiento 2026</t>
  </si>
  <si>
    <t>5.3 Tercera parte 10% del crecimiento 2026</t>
  </si>
  <si>
    <t>Total Fondo General de Participaciones a distribuir en 2026 (3 + 4)</t>
  </si>
  <si>
    <t>Fondo de Fomento Municipal recibido en la Entidad 2026 (determinado por Hacienda)</t>
  </si>
  <si>
    <t>Crecimiento del Fondo de Fomento Municipal 2026 (1-2)</t>
  </si>
  <si>
    <t>10.1 Primera parte 70% del crecimiento 2026</t>
  </si>
  <si>
    <t>10.2 Segunda parte 30% del crecimiento 2026</t>
  </si>
  <si>
    <t>Total Fondo  de Fomento  Municipal a distribuir en 2026 (8 + 9)</t>
  </si>
  <si>
    <t>Fondo de Fiscalizacion recibido en la Entidad 2026 (determinado por Hacienda)</t>
  </si>
  <si>
    <t>Crecimiento del Fondo de Fiscalizacion en 2026 (9-10)</t>
  </si>
  <si>
    <t>Fondo de Compensacion recibido en la Entidad 2026 (determinado por Hacienda)</t>
  </si>
  <si>
    <t>Crecimiento del Fondo de Compensación en 2026 (12-13)</t>
  </si>
  <si>
    <t>Fondo de Impuesto sobre la renta recibido en la Entidad 2026 (determinado por Hacienda)</t>
  </si>
  <si>
    <t>Crecimiento del Fondo de ISR 2026 (15-16)</t>
  </si>
  <si>
    <t>Impuesto Especial s/Producción y Servicios  recibido en la Entidad 2026 (determinado por Hacienda)</t>
  </si>
  <si>
    <t>Crecimiento del Impuesto Especial s/Producción y Servicios en 2026 (18-19)</t>
  </si>
  <si>
    <t>Impuesto Especial s/Producción y Servicios  (G y D)recibido en la Entidad 2026 (determinado por Hacienda)</t>
  </si>
  <si>
    <t>Crecimiento del Impuesto Especial s/Producción y Servicios en 2026 (21-22)</t>
  </si>
  <si>
    <t>Impuesto sobre automóviles nuevos ISAN, recibido en la Entidad 2026 (determinado por Hacienda)</t>
  </si>
  <si>
    <t>Crecimiento del Impuesto sobre Automóviles Nuevos ISAN en 2026 (24-25)</t>
  </si>
  <si>
    <t>Fondo de Compensacion sobre el ISAN, recibido en la Entidad 2026 (determinado por Hacienda)</t>
  </si>
  <si>
    <t>Fondo de Compensación sobre el ISAN recibido en la Entidad  2026</t>
  </si>
  <si>
    <t>Fondo General de Participaciones recibido en la Entidad  2026</t>
  </si>
  <si>
    <t>Fondo General de Participaciones crecimiento 2026 (3-4)</t>
  </si>
  <si>
    <t>6.1 Primera parte 60% del crecimiento 2026</t>
  </si>
  <si>
    <t>6.2 Segunda parte 30% del crecimiento 2026</t>
  </si>
  <si>
    <t>6.3 Tercera parte 10% del crecimiento 2026</t>
  </si>
  <si>
    <t>FALTAN= ISR Enajenación, Mpales Coord., Fais y Fortamun</t>
  </si>
  <si>
    <t xml:space="preserve">NOTA: </t>
  </si>
  <si>
    <t>LAS CANTIDADES DE ENERO A DICIEMBRE SON LA DISTRIBUCION REAL DEL EJERCICIO INMEDIATO ANTERIOR (2025)</t>
  </si>
  <si>
    <t>CALCULO PARA LA DETERMINACION DE LOS FACTORES DE DISTRIBUCION PARA 2026      (TESY)</t>
  </si>
  <si>
    <t>Distribución calendarizada a Municipios por Participacion Federal del Fondo de Compensación de 2026</t>
  </si>
  <si>
    <t>(7=∑8*5/100)</t>
  </si>
  <si>
    <t>(6=∑8*2/100)</t>
  </si>
  <si>
    <t>Participacion del 30%</t>
  </si>
  <si>
    <t>Participacion del 70%</t>
  </si>
  <si>
    <t>(8=7+6)</t>
  </si>
  <si>
    <t>NOTA:</t>
  </si>
  <si>
    <t>Este Fondo se recibirá en tanto se forme parte de las 10 entidades federativas que, de acuerdo con la última información oficial del Instituto Nacional de Estadística y Geografía, tengan los menores niveles de Producto Interno Bruto per cápita No minero y No petrolero. De conformidad al Artículo 4o-A.-parrafo II de la Ley de Coordinación Fiscal.</t>
  </si>
  <si>
    <t>30 DE ENERO</t>
  </si>
  <si>
    <t xml:space="preserve">                                                                                                                                                                    ANEXO 2</t>
  </si>
  <si>
    <t>03 DE MARZO</t>
  </si>
  <si>
    <t>31 DE MARZO</t>
  </si>
  <si>
    <t>04 DE MAYO</t>
  </si>
  <si>
    <t>29 DE MAYO</t>
  </si>
  <si>
    <t>01 DE JULIO</t>
  </si>
  <si>
    <t>31 DE JULIO</t>
  </si>
  <si>
    <t>31 DE AGOSTO</t>
  </si>
  <si>
    <t>01 DE OCTUBRE</t>
  </si>
  <si>
    <t>30 DE OCTUBRE</t>
  </si>
  <si>
    <t>01 DE DICIEMBRE</t>
  </si>
  <si>
    <t>04 DE ENERO 2027</t>
  </si>
  <si>
    <t>06 DE FEBRERO</t>
  </si>
  <si>
    <t>05 DE MARZO</t>
  </si>
  <si>
    <t>08 DE ABRIL</t>
  </si>
  <si>
    <t>07 DE MAYO</t>
  </si>
  <si>
    <t>04 DE JUNIO</t>
  </si>
  <si>
    <t>06 DE JULIO</t>
  </si>
  <si>
    <t>06 DE AGOSTO</t>
  </si>
  <si>
    <t>04 DE SEPTIEMBRE</t>
  </si>
  <si>
    <t>06 DE OCTUBRE</t>
  </si>
  <si>
    <t>05 DE NOVIEMBRE</t>
  </si>
  <si>
    <t>04 DE DICIEMBRE</t>
  </si>
  <si>
    <t>07 DE ENERO 2027</t>
  </si>
  <si>
    <t>16 DE ENERO</t>
  </si>
  <si>
    <t>16 DE FEBRERO</t>
  </si>
  <si>
    <t>17 DE MARZO</t>
  </si>
  <si>
    <t>16 DE ABRIL</t>
  </si>
  <si>
    <t>15 DE MAYO</t>
  </si>
  <si>
    <t>16 DE JUNIO</t>
  </si>
  <si>
    <t>16 DE JULIO</t>
  </si>
  <si>
    <t>14 DE AGOSTO</t>
  </si>
  <si>
    <t>17 DE SEPTIEMBRE</t>
  </si>
  <si>
    <t>16 DE OCTUBRE</t>
  </si>
  <si>
    <t>17 DE NOVIEMBRE</t>
  </si>
  <si>
    <t>16 DE DICIEMBRE</t>
  </si>
  <si>
    <t>15 DE ENERO 2027</t>
  </si>
  <si>
    <t xml:space="preserve">  ESTIMACIÓN I.E.P.S. PARA EL EJERCICIO  2014</t>
  </si>
  <si>
    <t xml:space="preserve">GOBIERNO DEL ESTADO DE NAYARIT </t>
  </si>
  <si>
    <t>CUADRO 1</t>
  </si>
  <si>
    <t>CUADRO 2</t>
  </si>
  <si>
    <t>CUADRO 3</t>
  </si>
  <si>
    <t>CUADRO 4</t>
  </si>
  <si>
    <t>CUADRO 5</t>
  </si>
  <si>
    <t>CUADRO 6</t>
  </si>
  <si>
    <t>CUADRO 7</t>
  </si>
  <si>
    <t>CUADRO 8</t>
  </si>
  <si>
    <t>CUADRO 9</t>
  </si>
  <si>
    <t>CUADRO 10</t>
  </si>
  <si>
    <t>CUADRO 11</t>
  </si>
  <si>
    <t>CUADRO 12</t>
  </si>
  <si>
    <t>CUADRO 13</t>
  </si>
  <si>
    <t>CUADRO 14</t>
  </si>
  <si>
    <t>CUADRO 15</t>
  </si>
  <si>
    <t>CUADRO 16</t>
  </si>
  <si>
    <t>CUADRO 17</t>
  </si>
  <si>
    <t>CUADRO 18</t>
  </si>
  <si>
    <t>CUADRO 19</t>
  </si>
  <si>
    <t>CUADRO 20</t>
  </si>
  <si>
    <t>CUADRO 21</t>
  </si>
  <si>
    <t>CUADRO 22</t>
  </si>
  <si>
    <t>CUADRO 23</t>
  </si>
  <si>
    <t>CUADRO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</si>
</sst>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quot;$&quot;#,##0.00;\-&quot;$&quot;#,##0.00"/>
    <numFmt numFmtId="44" formatCode="_-&quot;$&quot;* #,##0.00_-;\-&quot;$&quot;* #,##0.00_-;_-&quot;$&quot;* &quot;-&quot;??_-;_-@_-"/>
    <numFmt numFmtId="164" formatCode="#,##0.00_ ;\-#,##0.00\ "/>
    <numFmt numFmtId="165" formatCode="#,##0_ ;\-#,##0\ "/>
    <numFmt numFmtId="166" formatCode="0.000000"/>
    <numFmt numFmtId="167" formatCode="#,##0.000000"/>
    <numFmt numFmtId="168" formatCode="#,##0.000000_ ;\-#,##0.000000\ "/>
    <numFmt numFmtId="169" formatCode="#,##0.0000000"/>
    <numFmt numFmtId="170" formatCode="&quot;$&quot;#,##0.00"/>
    <numFmt numFmtId="171" formatCode="#,##0.000_ ;\-#,##0.000\ "/>
    <numFmt numFmtId="172" formatCode="0.0000000"/>
    <numFmt numFmtId="173" formatCode="#,##0.00_ ;[Red]\-#,##0.00\ "/>
  </numFmts>
  <fonts count="54"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1"/>
      <color theme="1"/>
      <name val="Arial"/>
      <family val="2"/>
    </font>
    <font>
      <b/>
      <sz val="11"/>
      <color theme="1"/>
      <name val="Arial"/>
      <family val="2"/>
    </font>
    <font>
      <sz val="10"/>
      <color theme="1"/>
      <name val="Calibri"/>
      <family val="2"/>
      <scheme val="minor"/>
    </font>
    <font>
      <b/>
      <sz val="9"/>
      <color theme="1"/>
      <name val="Arial"/>
      <family val="2"/>
    </font>
    <font>
      <b/>
      <sz val="10"/>
      <color theme="1"/>
      <name val="Arial"/>
      <family val="2"/>
    </font>
    <font>
      <sz val="10"/>
      <color theme="1"/>
      <name val="Arial"/>
      <family val="2"/>
    </font>
    <font>
      <sz val="11"/>
      <color rgb="FF000000"/>
      <name val="Arial"/>
      <family val="2"/>
    </font>
    <font>
      <b/>
      <sz val="8"/>
      <color theme="1"/>
      <name val="Arial"/>
      <family val="2"/>
    </font>
    <font>
      <sz val="9"/>
      <color theme="1"/>
      <name val="Calibri"/>
      <family val="2"/>
      <scheme val="minor"/>
    </font>
    <font>
      <b/>
      <sz val="9"/>
      <color theme="1"/>
      <name val="Calibri"/>
      <family val="2"/>
      <scheme val="minor"/>
    </font>
    <font>
      <sz val="8"/>
      <color theme="1"/>
      <name val="Arial"/>
      <family val="2"/>
    </font>
    <font>
      <i/>
      <sz val="9"/>
      <color theme="1"/>
      <name val="Arial"/>
      <family val="2"/>
    </font>
    <font>
      <i/>
      <sz val="11"/>
      <color theme="1"/>
      <name val="Calibri"/>
      <family val="2"/>
      <scheme val="minor"/>
    </font>
    <font>
      <sz val="8"/>
      <color theme="1"/>
      <name val="Calibri"/>
      <family val="2"/>
      <scheme val="minor"/>
    </font>
    <font>
      <b/>
      <sz val="14"/>
      <color theme="1"/>
      <name val="Arial"/>
      <family val="2"/>
    </font>
    <font>
      <sz val="10"/>
      <color rgb="FF000000"/>
      <name val="Arial"/>
      <family val="2"/>
    </font>
    <font>
      <sz val="11"/>
      <color rgb="FFFF0000"/>
      <name val="Calibri"/>
      <family val="2"/>
      <scheme val="minor"/>
    </font>
    <font>
      <b/>
      <sz val="11"/>
      <name val="Arial"/>
      <family val="2"/>
    </font>
    <font>
      <sz val="11"/>
      <color rgb="FFFF0000"/>
      <name val="Arial"/>
      <family val="2"/>
    </font>
    <font>
      <sz val="11"/>
      <color theme="4"/>
      <name val="Arial"/>
      <family val="2"/>
    </font>
    <font>
      <sz val="10"/>
      <name val="Arial"/>
      <family val="2"/>
    </font>
    <font>
      <b/>
      <sz val="12"/>
      <name val="Arial"/>
      <family val="2"/>
    </font>
    <font>
      <b/>
      <sz val="10"/>
      <name val="Arial"/>
      <family val="2"/>
    </font>
    <font>
      <b/>
      <sz val="9"/>
      <name val="Arial"/>
      <family val="2"/>
    </font>
    <font>
      <sz val="8"/>
      <name val="Arial"/>
      <family val="2"/>
    </font>
    <font>
      <b/>
      <sz val="8"/>
      <name val="Arial"/>
      <family val="2"/>
    </font>
    <font>
      <i/>
      <sz val="11"/>
      <color theme="1"/>
      <name val="Arial"/>
      <family val="2"/>
    </font>
    <font>
      <b/>
      <i/>
      <sz val="9"/>
      <color theme="1"/>
      <name val="Arial"/>
      <family val="2"/>
    </font>
    <font>
      <b/>
      <i/>
      <sz val="10"/>
      <color theme="1"/>
      <name val="Arial"/>
      <family val="2"/>
    </font>
    <font>
      <i/>
      <sz val="9"/>
      <color theme="1"/>
      <name val="Calibri"/>
      <family val="2"/>
      <scheme val="minor"/>
    </font>
    <font>
      <b/>
      <i/>
      <sz val="9"/>
      <color theme="1"/>
      <name val="Calibri"/>
      <family val="2"/>
      <scheme val="minor"/>
    </font>
    <font>
      <sz val="9"/>
      <color theme="1"/>
      <name val="Arial"/>
      <family val="2"/>
    </font>
    <font>
      <i/>
      <sz val="8"/>
      <name val="Arial"/>
      <family val="2"/>
    </font>
    <font>
      <i/>
      <sz val="10"/>
      <name val="Arial"/>
      <family val="2"/>
    </font>
    <font>
      <i/>
      <sz val="9"/>
      <name val="Arial"/>
      <family val="2"/>
    </font>
    <font>
      <sz val="9"/>
      <name val="Arial"/>
      <family val="2"/>
    </font>
    <font>
      <sz val="9"/>
      <color theme="3"/>
      <name val="Arial"/>
      <family val="2"/>
    </font>
    <font>
      <b/>
      <sz val="20"/>
      <color theme="0"/>
      <name val="Arial"/>
      <family val="2"/>
    </font>
    <font>
      <sz val="6"/>
      <name val="Arial"/>
      <family val="2"/>
    </font>
    <font>
      <b/>
      <sz val="12"/>
      <color theme="1"/>
      <name val="Calibri"/>
      <family val="2"/>
      <scheme val="minor"/>
    </font>
    <font>
      <b/>
      <sz val="6"/>
      <name val="Arial"/>
      <family val="2"/>
    </font>
    <font>
      <sz val="7"/>
      <name val="Arial"/>
      <family val="2"/>
    </font>
    <font>
      <b/>
      <sz val="10"/>
      <color theme="1"/>
      <name val="Calibri"/>
      <family val="2"/>
      <scheme val="minor"/>
    </font>
    <font>
      <sz val="11"/>
      <color theme="0"/>
      <name val="Arial"/>
      <family val="2"/>
    </font>
    <font>
      <b/>
      <sz val="11"/>
      <color theme="0"/>
      <name val="Arial"/>
      <family val="2"/>
    </font>
    <font>
      <b/>
      <sz val="6"/>
      <color theme="1"/>
      <name val="Arial"/>
      <family val="2"/>
    </font>
    <font>
      <b/>
      <i/>
      <u/>
      <sz val="11"/>
      <color theme="1"/>
      <name val="Calibri"/>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6" tint="-0.249977111117893"/>
        <bgColor indexed="64"/>
      </patternFill>
    </fill>
    <fill>
      <patternFill patternType="solid">
        <fgColor rgb="FF7030A0"/>
        <bgColor indexed="64"/>
      </patternFill>
    </fill>
    <fill>
      <patternFill patternType="solid">
        <fgColor rgb="FF92D050"/>
        <bgColor indexed="64"/>
      </patternFill>
    </fill>
    <fill>
      <patternFill patternType="solid">
        <fgColor theme="4"/>
        <bgColor indexed="64"/>
      </patternFill>
    </fill>
    <fill>
      <patternFill patternType="solid">
        <fgColor rgb="FFFFFF99"/>
        <bgColor indexed="64"/>
      </patternFill>
    </fill>
    <fill>
      <patternFill patternType="solid">
        <fgColor indexed="4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2" tint="-9.9948118533890809E-2"/>
        <bgColor indexed="64"/>
      </patternFill>
    </fill>
    <fill>
      <patternFill patternType="solid">
        <fgColor rgb="FFFFC00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double">
        <color indexed="64"/>
      </right>
      <top style="medium">
        <color indexed="64"/>
      </top>
      <bottom style="medium">
        <color indexed="64"/>
      </bottom>
      <diagonal/>
    </border>
  </borders>
  <cellStyleXfs count="8">
    <xf numFmtId="0" fontId="0" fillId="0" borderId="0"/>
    <xf numFmtId="44" fontId="3" fillId="0" borderId="0" applyFont="0" applyFill="0" applyBorder="0" applyAlignment="0" applyProtection="0"/>
    <xf numFmtId="0" fontId="27" fillId="0" borderId="0"/>
    <xf numFmtId="0" fontId="27" fillId="0" borderId="0"/>
    <xf numFmtId="0" fontId="27" fillId="0" borderId="0"/>
    <xf numFmtId="0" fontId="1" fillId="0" borderId="0"/>
    <xf numFmtId="44" fontId="27" fillId="0" borderId="0" applyFont="0" applyFill="0" applyBorder="0" applyAlignment="0" applyProtection="0"/>
    <xf numFmtId="9" fontId="27" fillId="0" borderId="0" applyFont="0" applyFill="0" applyBorder="0" applyAlignment="0" applyProtection="0"/>
  </cellStyleXfs>
  <cellXfs count="1328">
    <xf numFmtId="0" fontId="0" fillId="0" borderId="0" xfId="0"/>
    <xf numFmtId="0" fontId="5" fillId="0" borderId="0" xfId="0" applyFont="1" applyBorder="1" applyAlignment="1"/>
    <xf numFmtId="0" fontId="6" fillId="0" borderId="0" xfId="0" applyFont="1" applyBorder="1" applyAlignment="1">
      <alignment vertical="center"/>
    </xf>
    <xf numFmtId="0" fontId="6" fillId="0" borderId="0" xfId="0" applyFont="1" applyBorder="1" applyAlignment="1">
      <alignment vertical="distributed"/>
    </xf>
    <xf numFmtId="0" fontId="6" fillId="0" borderId="0" xfId="0" applyFont="1" applyBorder="1"/>
    <xf numFmtId="0" fontId="0" fillId="0" borderId="0" xfId="0" applyFill="1"/>
    <xf numFmtId="49" fontId="6" fillId="0" borderId="0" xfId="0" applyNumberFormat="1" applyFont="1" applyBorder="1" applyAlignment="1">
      <alignment horizontal="right"/>
    </xf>
    <xf numFmtId="49" fontId="6" fillId="0" borderId="0" xfId="0" applyNumberFormat="1" applyFont="1" applyBorder="1"/>
    <xf numFmtId="0" fontId="7" fillId="0" borderId="0" xfId="0" applyFont="1"/>
    <xf numFmtId="0" fontId="0" fillId="0" borderId="0" xfId="0" applyAlignment="1">
      <alignment horizontal="center"/>
    </xf>
    <xf numFmtId="0" fontId="8" fillId="0" borderId="0" xfId="0" applyFont="1" applyAlignment="1">
      <alignment horizontal="center"/>
    </xf>
    <xf numFmtId="0" fontId="9" fillId="0" borderId="0" xfId="0" applyFont="1"/>
    <xf numFmtId="0" fontId="8" fillId="0" borderId="0" xfId="0" applyFont="1" applyAlignment="1">
      <alignment horizontal="center"/>
    </xf>
    <xf numFmtId="0" fontId="8" fillId="0" borderId="8" xfId="0" applyFont="1" applyBorder="1" applyAlignment="1">
      <alignment horizontal="center"/>
    </xf>
    <xf numFmtId="49" fontId="8" fillId="0" borderId="32" xfId="0" applyNumberFormat="1" applyFont="1" applyBorder="1" applyAlignment="1">
      <alignment horizontal="center"/>
    </xf>
    <xf numFmtId="0" fontId="7" fillId="0" borderId="41" xfId="0" applyFont="1" applyBorder="1"/>
    <xf numFmtId="164" fontId="7" fillId="0" borderId="12" xfId="1" applyNumberFormat="1" applyFont="1" applyBorder="1" applyAlignment="1">
      <alignment horizontal="center"/>
    </xf>
    <xf numFmtId="165" fontId="7" fillId="2" borderId="10" xfId="1" applyNumberFormat="1" applyFont="1" applyFill="1" applyBorder="1"/>
    <xf numFmtId="166" fontId="7" fillId="0" borderId="10" xfId="0" applyNumberFormat="1" applyFont="1" applyBorder="1"/>
    <xf numFmtId="3" fontId="7" fillId="0" borderId="10" xfId="0" applyNumberFormat="1" applyFont="1" applyBorder="1"/>
    <xf numFmtId="167" fontId="7" fillId="0" borderId="10" xfId="0" applyNumberFormat="1" applyFont="1" applyBorder="1"/>
    <xf numFmtId="165" fontId="7" fillId="2" borderId="10" xfId="0" applyNumberFormat="1" applyFont="1" applyFill="1" applyBorder="1" applyAlignment="1">
      <alignment horizontal="right"/>
    </xf>
    <xf numFmtId="165" fontId="7" fillId="0" borderId="10" xfId="0" applyNumberFormat="1" applyFont="1" applyBorder="1"/>
    <xf numFmtId="3" fontId="7" fillId="0" borderId="42" xfId="0" applyNumberFormat="1" applyFont="1" applyBorder="1"/>
    <xf numFmtId="0" fontId="0" fillId="0" borderId="0" xfId="0" applyAlignment="1"/>
    <xf numFmtId="0" fontId="7" fillId="0" borderId="45" xfId="0" applyFont="1" applyBorder="1"/>
    <xf numFmtId="164" fontId="7" fillId="0" borderId="3" xfId="1" applyNumberFormat="1" applyFont="1" applyBorder="1" applyAlignment="1">
      <alignment horizontal="center"/>
    </xf>
    <xf numFmtId="165" fontId="7" fillId="2" borderId="4" xfId="1" applyNumberFormat="1" applyFont="1" applyFill="1" applyBorder="1"/>
    <xf numFmtId="166" fontId="7" fillId="0" borderId="4" xfId="0" applyNumberFormat="1" applyFont="1" applyBorder="1"/>
    <xf numFmtId="3" fontId="13" fillId="0" borderId="4" xfId="0" applyNumberFormat="1" applyFont="1" applyBorder="1" applyAlignment="1">
      <alignment horizontal="right" vertical="center" wrapText="1"/>
    </xf>
    <xf numFmtId="167" fontId="7" fillId="0" borderId="4" xfId="0" applyNumberFormat="1" applyFont="1" applyBorder="1"/>
    <xf numFmtId="165" fontId="7" fillId="2" borderId="4" xfId="0" applyNumberFormat="1" applyFont="1" applyFill="1" applyBorder="1" applyAlignment="1">
      <alignment horizontal="right"/>
    </xf>
    <xf numFmtId="3" fontId="7" fillId="0" borderId="4" xfId="0" applyNumberFormat="1" applyFont="1" applyBorder="1"/>
    <xf numFmtId="165" fontId="7" fillId="0" borderId="4" xfId="0" applyNumberFormat="1" applyFont="1" applyBorder="1"/>
    <xf numFmtId="3" fontId="7" fillId="0" borderId="1" xfId="0" applyNumberFormat="1" applyFont="1" applyBorder="1"/>
    <xf numFmtId="0" fontId="7" fillId="0" borderId="48" xfId="0" applyFont="1" applyBorder="1"/>
    <xf numFmtId="164" fontId="7" fillId="0" borderId="7" xfId="1" applyNumberFormat="1" applyFont="1" applyBorder="1" applyAlignment="1">
      <alignment horizontal="center"/>
    </xf>
    <xf numFmtId="165" fontId="7" fillId="2" borderId="5" xfId="1" applyNumberFormat="1" applyFont="1" applyFill="1" applyBorder="1"/>
    <xf numFmtId="166" fontId="7" fillId="0" borderId="5" xfId="0" applyNumberFormat="1" applyFont="1" applyBorder="1"/>
    <xf numFmtId="3" fontId="7" fillId="0" borderId="5" xfId="0" applyNumberFormat="1" applyFont="1" applyBorder="1"/>
    <xf numFmtId="167" fontId="7" fillId="0" borderId="5" xfId="0" applyNumberFormat="1" applyFont="1" applyBorder="1"/>
    <xf numFmtId="165" fontId="7" fillId="2" borderId="5" xfId="0" applyNumberFormat="1" applyFont="1" applyFill="1" applyBorder="1" applyAlignment="1">
      <alignment horizontal="right"/>
    </xf>
    <xf numFmtId="165" fontId="7" fillId="0" borderId="5" xfId="0" applyNumberFormat="1" applyFont="1" applyBorder="1"/>
    <xf numFmtId="3" fontId="7" fillId="0" borderId="26" xfId="0" applyNumberFormat="1" applyFont="1" applyBorder="1"/>
    <xf numFmtId="0" fontId="8" fillId="0" borderId="49" xfId="0" applyFont="1" applyBorder="1"/>
    <xf numFmtId="164" fontId="8" fillId="0" borderId="50" xfId="1" applyNumberFormat="1" applyFont="1" applyBorder="1" applyAlignment="1">
      <alignment horizontal="center"/>
    </xf>
    <xf numFmtId="165" fontId="8" fillId="2" borderId="51" xfId="1" applyNumberFormat="1" applyFont="1" applyFill="1" applyBorder="1"/>
    <xf numFmtId="2" fontId="8" fillId="0" borderId="51" xfId="0" applyNumberFormat="1" applyFont="1" applyBorder="1"/>
    <xf numFmtId="3" fontId="8" fillId="0" borderId="51" xfId="0" applyNumberFormat="1" applyFont="1" applyBorder="1"/>
    <xf numFmtId="4" fontId="8" fillId="0" borderId="51" xfId="0" applyNumberFormat="1" applyFont="1" applyBorder="1"/>
    <xf numFmtId="165" fontId="8" fillId="2" borderId="51" xfId="0" applyNumberFormat="1" applyFont="1" applyFill="1" applyBorder="1" applyAlignment="1">
      <alignment horizontal="right"/>
    </xf>
    <xf numFmtId="166" fontId="7" fillId="0" borderId="51" xfId="0" applyNumberFormat="1" applyFont="1" applyBorder="1"/>
    <xf numFmtId="4" fontId="7" fillId="0" borderId="51" xfId="0" applyNumberFormat="1" applyFont="1" applyBorder="1"/>
    <xf numFmtId="3" fontId="7" fillId="0" borderId="51" xfId="0" applyNumberFormat="1" applyFont="1" applyBorder="1"/>
    <xf numFmtId="165" fontId="7" fillId="0" borderId="51" xfId="0" applyNumberFormat="1" applyFont="1" applyBorder="1"/>
    <xf numFmtId="3" fontId="7" fillId="0" borderId="52" xfId="0" applyNumberFormat="1" applyFont="1" applyBorder="1"/>
    <xf numFmtId="0" fontId="7" fillId="0" borderId="0" xfId="0" applyFont="1" applyAlignment="1"/>
    <xf numFmtId="0" fontId="7" fillId="0" borderId="0" xfId="0" applyFont="1" applyAlignment="1">
      <alignment horizontal="center"/>
    </xf>
    <xf numFmtId="165" fontId="0" fillId="0" borderId="0" xfId="0" applyNumberFormat="1"/>
    <xf numFmtId="166" fontId="0" fillId="0" borderId="0" xfId="0" applyNumberFormat="1"/>
    <xf numFmtId="0" fontId="6" fillId="0" borderId="60" xfId="0" applyFont="1" applyFill="1" applyBorder="1"/>
    <xf numFmtId="164" fontId="6" fillId="0" borderId="43" xfId="1" applyNumberFormat="1" applyFont="1" applyFill="1" applyBorder="1" applyAlignment="1">
      <alignment horizontal="center"/>
    </xf>
    <xf numFmtId="165" fontId="6" fillId="0" borderId="44" xfId="1" applyNumberFormat="1" applyFont="1" applyFill="1" applyBorder="1"/>
    <xf numFmtId="3" fontId="6" fillId="0" borderId="43" xfId="0" applyNumberFormat="1" applyFont="1" applyFill="1" applyBorder="1"/>
    <xf numFmtId="166" fontId="6" fillId="0" borderId="10" xfId="0" applyNumberFormat="1" applyFont="1" applyFill="1" applyBorder="1"/>
    <xf numFmtId="167" fontId="6" fillId="0" borderId="10" xfId="0" applyNumberFormat="1" applyFont="1" applyFill="1" applyBorder="1"/>
    <xf numFmtId="165" fontId="6" fillId="0" borderId="44" xfId="0" applyNumberFormat="1" applyFont="1" applyFill="1" applyBorder="1" applyAlignment="1">
      <alignment horizontal="right"/>
    </xf>
    <xf numFmtId="165" fontId="6" fillId="0" borderId="43" xfId="0" applyNumberFormat="1" applyFont="1" applyFill="1" applyBorder="1" applyAlignment="1">
      <alignment horizontal="right"/>
    </xf>
    <xf numFmtId="165" fontId="6" fillId="0" borderId="10" xfId="0" applyNumberFormat="1" applyFont="1" applyFill="1" applyBorder="1" applyAlignment="1">
      <alignment horizontal="right"/>
    </xf>
    <xf numFmtId="3" fontId="6" fillId="0" borderId="44" xfId="0" applyNumberFormat="1" applyFont="1" applyFill="1" applyBorder="1"/>
    <xf numFmtId="165" fontId="6" fillId="0" borderId="12" xfId="0" applyNumberFormat="1" applyFont="1" applyFill="1" applyBorder="1"/>
    <xf numFmtId="3" fontId="6" fillId="0" borderId="42" xfId="0" applyNumberFormat="1" applyFont="1" applyFill="1" applyBorder="1"/>
    <xf numFmtId="165" fontId="6" fillId="0" borderId="61" xfId="0" applyNumberFormat="1" applyFont="1" applyFill="1" applyBorder="1"/>
    <xf numFmtId="167" fontId="0" fillId="0" borderId="3" xfId="0" applyNumberFormat="1" applyFill="1" applyBorder="1"/>
    <xf numFmtId="167" fontId="0" fillId="0" borderId="0" xfId="0" applyNumberFormat="1" applyFill="1"/>
    <xf numFmtId="166" fontId="0" fillId="0" borderId="0" xfId="0" applyNumberFormat="1" applyFill="1"/>
    <xf numFmtId="3" fontId="0" fillId="0" borderId="0" xfId="0" applyNumberFormat="1" applyFill="1"/>
    <xf numFmtId="164" fontId="6" fillId="0" borderId="46" xfId="1" applyNumberFormat="1" applyFont="1" applyFill="1" applyBorder="1" applyAlignment="1">
      <alignment horizontal="center"/>
    </xf>
    <xf numFmtId="166" fontId="6" fillId="0" borderId="4" xfId="0" applyNumberFormat="1" applyFont="1" applyFill="1" applyBorder="1"/>
    <xf numFmtId="165" fontId="6" fillId="0" borderId="3" xfId="0" applyNumberFormat="1" applyFont="1" applyFill="1" applyBorder="1"/>
    <xf numFmtId="0" fontId="6" fillId="0" borderId="62" xfId="0" applyFont="1" applyFill="1" applyBorder="1"/>
    <xf numFmtId="0" fontId="5" fillId="0" borderId="59" xfId="0" applyFont="1" applyFill="1" applyBorder="1"/>
    <xf numFmtId="0" fontId="7" fillId="0" borderId="0" xfId="0" applyFont="1" applyFill="1"/>
    <xf numFmtId="0" fontId="7" fillId="0" borderId="0" xfId="0" applyFont="1" applyFill="1" applyAlignment="1">
      <alignment horizontal="center"/>
    </xf>
    <xf numFmtId="0" fontId="7" fillId="0" borderId="0" xfId="0" applyFont="1" applyBorder="1" applyAlignment="1">
      <alignment horizontal="center" vertical="center"/>
    </xf>
    <xf numFmtId="0" fontId="4" fillId="0" borderId="0" xfId="0" applyFont="1"/>
    <xf numFmtId="0" fontId="8" fillId="0" borderId="5" xfId="0" applyFont="1" applyBorder="1" applyAlignment="1">
      <alignment horizontal="center"/>
    </xf>
    <xf numFmtId="0" fontId="8" fillId="0" borderId="17" xfId="0" applyFont="1" applyBorder="1" applyAlignment="1">
      <alignment wrapText="1"/>
    </xf>
    <xf numFmtId="0" fontId="8" fillId="0" borderId="0" xfId="0" applyFont="1" applyBorder="1" applyAlignment="1"/>
    <xf numFmtId="9" fontId="8" fillId="0" borderId="0" xfId="0" applyNumberFormat="1" applyFont="1" applyBorder="1" applyAlignment="1">
      <alignment horizontal="center"/>
    </xf>
    <xf numFmtId="49" fontId="8" fillId="0" borderId="11" xfId="0" applyNumberFormat="1" applyFont="1" applyBorder="1" applyAlignment="1">
      <alignment horizontal="center"/>
    </xf>
    <xf numFmtId="49" fontId="8" fillId="0" borderId="22" xfId="0" applyNumberFormat="1" applyFont="1" applyBorder="1" applyAlignment="1">
      <alignment horizontal="center"/>
    </xf>
    <xf numFmtId="49" fontId="8" fillId="0" borderId="65" xfId="0" applyNumberFormat="1" applyFont="1" applyBorder="1" applyAlignment="1">
      <alignment horizontal="center"/>
    </xf>
    <xf numFmtId="49" fontId="7" fillId="0" borderId="39" xfId="0" applyNumberFormat="1" applyFont="1" applyBorder="1" applyAlignment="1">
      <alignment horizontal="center"/>
    </xf>
    <xf numFmtId="49" fontId="8" fillId="0" borderId="68" xfId="0" applyNumberFormat="1" applyFont="1" applyBorder="1" applyAlignment="1">
      <alignment horizontal="center"/>
    </xf>
    <xf numFmtId="0" fontId="8" fillId="0" borderId="64" xfId="0" applyFont="1" applyBorder="1" applyAlignment="1">
      <alignment horizontal="center" vertical="center"/>
    </xf>
    <xf numFmtId="164" fontId="7" fillId="0" borderId="0" xfId="1" applyNumberFormat="1" applyFont="1" applyBorder="1" applyAlignment="1">
      <alignment horizontal="center"/>
    </xf>
    <xf numFmtId="3" fontId="7" fillId="0" borderId="0" xfId="0" applyNumberFormat="1" applyFont="1" applyBorder="1"/>
    <xf numFmtId="167" fontId="0" fillId="0" borderId="0" xfId="0" applyNumberFormat="1"/>
    <xf numFmtId="4" fontId="0" fillId="0" borderId="0" xfId="0" applyNumberFormat="1"/>
    <xf numFmtId="167" fontId="4" fillId="0" borderId="0" xfId="0" applyNumberFormat="1" applyFont="1"/>
    <xf numFmtId="4" fontId="0" fillId="0" borderId="0" xfId="0" applyNumberFormat="1" applyFill="1"/>
    <xf numFmtId="0" fontId="4" fillId="0" borderId="0" xfId="0" applyFont="1" applyFill="1"/>
    <xf numFmtId="167" fontId="4" fillId="0" borderId="0" xfId="0" applyNumberFormat="1" applyFont="1" applyFill="1"/>
    <xf numFmtId="3" fontId="8" fillId="0" borderId="51" xfId="0" applyNumberFormat="1" applyFont="1" applyFill="1" applyBorder="1"/>
    <xf numFmtId="4" fontId="7" fillId="0" borderId="0" xfId="0" applyNumberFormat="1" applyFont="1"/>
    <xf numFmtId="0" fontId="8" fillId="0" borderId="5" xfId="0" applyFont="1" applyBorder="1" applyAlignment="1">
      <alignment horizontal="center" vertical="center"/>
    </xf>
    <xf numFmtId="0" fontId="8" fillId="0" borderId="8" xfId="0" applyFont="1" applyBorder="1" applyAlignment="1">
      <alignment horizontal="center" vertical="center"/>
    </xf>
    <xf numFmtId="49" fontId="8" fillId="0" borderId="8" xfId="0" applyNumberFormat="1" applyFont="1" applyBorder="1" applyAlignment="1">
      <alignment horizontal="center"/>
    </xf>
    <xf numFmtId="49" fontId="8" fillId="0" borderId="10" xfId="0" applyNumberFormat="1" applyFont="1" applyBorder="1" applyAlignment="1">
      <alignment horizontal="center"/>
    </xf>
    <xf numFmtId="0" fontId="7" fillId="0" borderId="26" xfId="0" applyFont="1" applyBorder="1"/>
    <xf numFmtId="164" fontId="7" fillId="0" borderId="6" xfId="1" applyNumberFormat="1" applyFont="1" applyBorder="1" applyAlignment="1">
      <alignment horizontal="center"/>
    </xf>
    <xf numFmtId="4" fontId="7" fillId="0" borderId="6" xfId="0" applyNumberFormat="1" applyFont="1" applyBorder="1"/>
    <xf numFmtId="0" fontId="7" fillId="0" borderId="69" xfId="0" applyFont="1" applyBorder="1"/>
    <xf numFmtId="4" fontId="7" fillId="0" borderId="0" xfId="0" applyNumberFormat="1" applyFont="1" applyBorder="1"/>
    <xf numFmtId="0" fontId="8" fillId="0" borderId="4" xfId="0" applyFont="1" applyBorder="1"/>
    <xf numFmtId="164" fontId="8" fillId="0" borderId="4" xfId="1" applyNumberFormat="1" applyFont="1" applyBorder="1" applyAlignment="1">
      <alignment horizontal="center"/>
    </xf>
    <xf numFmtId="0" fontId="8" fillId="0" borderId="0" xfId="0" applyFont="1" applyFill="1" applyBorder="1" applyAlignment="1">
      <alignment horizontal="center"/>
    </xf>
    <xf numFmtId="0" fontId="7" fillId="0" borderId="13" xfId="0" applyFont="1" applyBorder="1"/>
    <xf numFmtId="2" fontId="0" fillId="0" borderId="0" xfId="0" applyNumberFormat="1"/>
    <xf numFmtId="0" fontId="7" fillId="0" borderId="23" xfId="0" applyFont="1" applyBorder="1"/>
    <xf numFmtId="0" fontId="7" fillId="0" borderId="31" xfId="0" applyFont="1" applyBorder="1"/>
    <xf numFmtId="0" fontId="8" fillId="0" borderId="20" xfId="0" applyFont="1" applyBorder="1"/>
    <xf numFmtId="0" fontId="7" fillId="0" borderId="0" xfId="0" applyFont="1" applyBorder="1"/>
    <xf numFmtId="0" fontId="7" fillId="0" borderId="0" xfId="0" applyFont="1" applyBorder="1" applyAlignment="1">
      <alignment horizontal="center"/>
    </xf>
    <xf numFmtId="0" fontId="0" fillId="0" borderId="0" xfId="0" applyBorder="1"/>
    <xf numFmtId="49" fontId="14" fillId="3" borderId="57" xfId="0" applyNumberFormat="1" applyFont="1" applyFill="1" applyBorder="1" applyAlignment="1">
      <alignment horizontal="center"/>
    </xf>
    <xf numFmtId="0" fontId="0" fillId="3" borderId="0" xfId="0" applyFill="1"/>
    <xf numFmtId="167" fontId="0" fillId="3" borderId="0" xfId="0" applyNumberFormat="1" applyFill="1"/>
    <xf numFmtId="3" fontId="8" fillId="0" borderId="49" xfId="0" applyNumberFormat="1" applyFont="1" applyFill="1" applyBorder="1" applyAlignment="1"/>
    <xf numFmtId="49" fontId="8" fillId="0" borderId="0" xfId="0" applyNumberFormat="1" applyFont="1" applyBorder="1" applyAlignment="1">
      <alignment horizontal="center"/>
    </xf>
    <xf numFmtId="166" fontId="7" fillId="0" borderId="0" xfId="0" applyNumberFormat="1" applyFont="1" applyBorder="1"/>
    <xf numFmtId="167" fontId="7" fillId="0" borderId="0" xfId="0" applyNumberFormat="1" applyFont="1" applyBorder="1"/>
    <xf numFmtId="0" fontId="7" fillId="0" borderId="0" xfId="0" applyFont="1" applyFill="1" applyBorder="1" applyAlignment="1">
      <alignment horizontal="center"/>
    </xf>
    <xf numFmtId="44" fontId="8" fillId="0" borderId="0" xfId="0" applyNumberFormat="1" applyFont="1" applyFill="1" applyBorder="1" applyAlignment="1">
      <alignment horizontal="center"/>
    </xf>
    <xf numFmtId="2" fontId="0" fillId="0" borderId="0" xfId="0" applyNumberFormat="1" applyBorder="1"/>
    <xf numFmtId="3" fontId="8" fillId="0" borderId="0" xfId="0" applyNumberFormat="1" applyFont="1" applyBorder="1"/>
    <xf numFmtId="167" fontId="8" fillId="0" borderId="0" xfId="0" applyNumberFormat="1" applyFont="1" applyBorder="1"/>
    <xf numFmtId="4" fontId="7" fillId="0" borderId="0" xfId="0" applyNumberFormat="1" applyFont="1" applyAlignment="1"/>
    <xf numFmtId="44" fontId="7" fillId="0" borderId="0" xfId="0" applyNumberFormat="1" applyFont="1"/>
    <xf numFmtId="3" fontId="7" fillId="0" borderId="8" xfId="0" applyNumberFormat="1" applyFont="1" applyFill="1" applyBorder="1"/>
    <xf numFmtId="0" fontId="8" fillId="0" borderId="0" xfId="0" applyFont="1" applyAlignment="1">
      <alignment horizontal="center"/>
    </xf>
    <xf numFmtId="0" fontId="8" fillId="0" borderId="0" xfId="0" applyFont="1" applyBorder="1" applyAlignment="1">
      <alignment horizontal="center"/>
    </xf>
    <xf numFmtId="0" fontId="8" fillId="0" borderId="32" xfId="0" applyFont="1" applyFill="1" applyBorder="1" applyAlignment="1">
      <alignment horizontal="center"/>
    </xf>
    <xf numFmtId="3" fontId="7" fillId="0" borderId="36" xfId="0" applyNumberFormat="1" applyFont="1" applyFill="1" applyBorder="1"/>
    <xf numFmtId="3" fontId="7" fillId="0" borderId="37" xfId="0" applyNumberFormat="1" applyFont="1" applyFill="1" applyBorder="1"/>
    <xf numFmtId="0" fontId="7" fillId="0" borderId="31" xfId="0" applyFont="1" applyFill="1" applyBorder="1"/>
    <xf numFmtId="0" fontId="8" fillId="0" borderId="63" xfId="0" applyFont="1" applyFill="1" applyBorder="1" applyAlignment="1">
      <alignment horizontal="center"/>
    </xf>
    <xf numFmtId="3" fontId="7" fillId="0" borderId="34" xfId="0" applyNumberFormat="1" applyFont="1" applyFill="1" applyBorder="1"/>
    <xf numFmtId="3" fontId="7" fillId="0" borderId="38" xfId="0" applyNumberFormat="1" applyFont="1" applyFill="1" applyBorder="1"/>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9" fontId="8" fillId="0" borderId="9" xfId="0" applyNumberFormat="1" applyFont="1" applyBorder="1" applyAlignment="1">
      <alignment horizontal="center" vertical="center" wrapText="1"/>
    </xf>
    <xf numFmtId="0" fontId="8" fillId="0" borderId="12" xfId="0" applyFont="1" applyBorder="1" applyAlignment="1">
      <alignment horizontal="center" vertical="center" wrapText="1"/>
    </xf>
    <xf numFmtId="166" fontId="7" fillId="0" borderId="0" xfId="0" applyNumberFormat="1" applyFont="1"/>
    <xf numFmtId="167" fontId="7" fillId="0" borderId="6" xfId="0" applyNumberFormat="1" applyFont="1" applyBorder="1"/>
    <xf numFmtId="44" fontId="7" fillId="0" borderId="8" xfId="1" applyFont="1" applyBorder="1"/>
    <xf numFmtId="164" fontId="7" fillId="0" borderId="0" xfId="1" applyNumberFormat="1" applyFont="1" applyBorder="1"/>
    <xf numFmtId="167" fontId="7" fillId="0" borderId="9" xfId="0" applyNumberFormat="1" applyFont="1" applyBorder="1"/>
    <xf numFmtId="3" fontId="13" fillId="0" borderId="0" xfId="0" applyNumberFormat="1" applyFont="1" applyBorder="1" applyAlignment="1">
      <alignment horizontal="right" vertical="center" wrapText="1"/>
    </xf>
    <xf numFmtId="3" fontId="7" fillId="0" borderId="54" xfId="0" applyNumberFormat="1" applyFont="1" applyBorder="1"/>
    <xf numFmtId="4" fontId="7" fillId="0" borderId="3" xfId="0" applyNumberFormat="1" applyFont="1" applyBorder="1"/>
    <xf numFmtId="4" fontId="7" fillId="0" borderId="4" xfId="0" applyNumberFormat="1" applyFont="1" applyBorder="1"/>
    <xf numFmtId="44" fontId="7" fillId="0" borderId="4" xfId="1" applyFont="1" applyBorder="1"/>
    <xf numFmtId="44" fontId="8" fillId="0" borderId="0" xfId="1" applyFont="1" applyBorder="1"/>
    <xf numFmtId="170" fontId="8" fillId="0" borderId="0" xfId="0" applyNumberFormat="1" applyFont="1" applyBorder="1"/>
    <xf numFmtId="167" fontId="7" fillId="0" borderId="51" xfId="0" applyNumberFormat="1" applyFont="1" applyBorder="1" applyAlignment="1">
      <alignment horizontal="right"/>
    </xf>
    <xf numFmtId="167" fontId="7" fillId="0" borderId="51" xfId="0" applyNumberFormat="1" applyFont="1" applyBorder="1"/>
    <xf numFmtId="0" fontId="8" fillId="0" borderId="0" xfId="0" applyFont="1" applyAlignment="1">
      <alignment horizontal="center"/>
    </xf>
    <xf numFmtId="3" fontId="0" fillId="0" borderId="0" xfId="0" applyNumberFormat="1"/>
    <xf numFmtId="0" fontId="8" fillId="0" borderId="0" xfId="0" applyFont="1" applyAlignment="1">
      <alignment horizontal="center"/>
    </xf>
    <xf numFmtId="0" fontId="7" fillId="0" borderId="0" xfId="0" applyFont="1" applyAlignment="1">
      <alignment horizontal="center" vertical="center"/>
    </xf>
    <xf numFmtId="166" fontId="8" fillId="0" borderId="33" xfId="0" applyNumberFormat="1" applyFont="1" applyBorder="1" applyAlignment="1">
      <alignment horizontal="center"/>
    </xf>
    <xf numFmtId="166" fontId="8" fillId="0" borderId="68" xfId="0" applyNumberFormat="1" applyFont="1" applyBorder="1" applyAlignment="1">
      <alignment horizontal="center"/>
    </xf>
    <xf numFmtId="0" fontId="8" fillId="0" borderId="35" xfId="0" applyFont="1" applyBorder="1" applyAlignment="1">
      <alignment horizontal="center"/>
    </xf>
    <xf numFmtId="0" fontId="7" fillId="0" borderId="55" xfId="0" applyFont="1" applyBorder="1" applyAlignment="1">
      <alignment horizontal="center" vertical="center"/>
    </xf>
    <xf numFmtId="44" fontId="7" fillId="0" borderId="14" xfId="1" applyFont="1" applyBorder="1"/>
    <xf numFmtId="166" fontId="7" fillId="0" borderId="14" xfId="0" applyNumberFormat="1" applyFont="1" applyBorder="1"/>
    <xf numFmtId="3" fontId="22" fillId="0" borderId="14" xfId="0" applyNumberFormat="1" applyFont="1" applyBorder="1" applyAlignment="1">
      <alignment horizontal="right" vertical="center" wrapText="1"/>
    </xf>
    <xf numFmtId="0" fontId="0" fillId="0" borderId="58" xfId="0" applyBorder="1"/>
    <xf numFmtId="166" fontId="7" fillId="0" borderId="13" xfId="0" applyNumberFormat="1" applyFont="1" applyBorder="1" applyAlignment="1">
      <alignment horizontal="center"/>
    </xf>
    <xf numFmtId="166" fontId="7" fillId="0" borderId="14" xfId="0" applyNumberFormat="1" applyFont="1" applyBorder="1" applyAlignment="1">
      <alignment horizontal="center"/>
    </xf>
    <xf numFmtId="0" fontId="7" fillId="0" borderId="57" xfId="0" applyFont="1" applyBorder="1" applyAlignment="1">
      <alignment horizontal="center" vertical="center"/>
    </xf>
    <xf numFmtId="166" fontId="7" fillId="0" borderId="23" xfId="0" applyNumberFormat="1" applyFont="1" applyFill="1" applyBorder="1" applyAlignment="1">
      <alignment horizontal="center"/>
    </xf>
    <xf numFmtId="166" fontId="7" fillId="0" borderId="0" xfId="0" applyNumberFormat="1" applyFont="1" applyFill="1" applyBorder="1" applyAlignment="1">
      <alignment horizontal="center"/>
    </xf>
    <xf numFmtId="0" fontId="0" fillId="0" borderId="30" xfId="0" applyFill="1" applyBorder="1"/>
    <xf numFmtId="4" fontId="7" fillId="0" borderId="30" xfId="0" applyNumberFormat="1" applyFont="1" applyFill="1" applyBorder="1" applyAlignment="1">
      <alignment horizontal="right"/>
    </xf>
    <xf numFmtId="0" fontId="7" fillId="0" borderId="0" xfId="0" applyFont="1" applyFill="1" applyBorder="1" applyAlignment="1">
      <alignment horizontal="left"/>
    </xf>
    <xf numFmtId="0" fontId="7" fillId="0" borderId="0" xfId="0" applyFont="1" applyBorder="1" applyAlignment="1">
      <alignment horizontal="left"/>
    </xf>
    <xf numFmtId="0" fontId="7" fillId="0" borderId="23" xfId="0" applyFont="1" applyFill="1" applyBorder="1" applyAlignment="1">
      <alignment horizontal="left"/>
    </xf>
    <xf numFmtId="0" fontId="7" fillId="0" borderId="30" xfId="0" applyFont="1" applyFill="1" applyBorder="1" applyAlignment="1">
      <alignment horizontal="left"/>
    </xf>
    <xf numFmtId="0" fontId="7" fillId="0" borderId="23" xfId="0" applyFont="1" applyFill="1" applyBorder="1" applyAlignment="1">
      <alignment horizontal="right"/>
    </xf>
    <xf numFmtId="0" fontId="7" fillId="0" borderId="0" xfId="0" applyFont="1" applyFill="1" applyBorder="1" applyAlignment="1">
      <alignment horizontal="right"/>
    </xf>
    <xf numFmtId="4" fontId="7" fillId="0" borderId="23" xfId="0" applyNumberFormat="1" applyFont="1" applyFill="1" applyBorder="1" applyAlignment="1">
      <alignment horizontal="right"/>
    </xf>
    <xf numFmtId="4" fontId="7" fillId="0" borderId="0" xfId="0" applyNumberFormat="1" applyFont="1" applyFill="1" applyBorder="1" applyAlignment="1">
      <alignment horizontal="right"/>
    </xf>
    <xf numFmtId="0" fontId="7" fillId="0" borderId="59" xfId="0" applyFont="1" applyBorder="1" applyAlignment="1">
      <alignment horizontal="center" vertical="center"/>
    </xf>
    <xf numFmtId="4" fontId="17" fillId="0" borderId="0" xfId="0" applyNumberFormat="1" applyFont="1" applyFill="1" applyBorder="1" applyAlignment="1">
      <alignment horizontal="right"/>
    </xf>
    <xf numFmtId="4" fontId="20" fillId="0" borderId="0" xfId="0" applyNumberFormat="1" applyFont="1" applyBorder="1"/>
    <xf numFmtId="3" fontId="8" fillId="0" borderId="4" xfId="0" applyNumberFormat="1" applyFont="1" applyBorder="1"/>
    <xf numFmtId="0" fontId="5" fillId="0" borderId="0" xfId="0" applyFont="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vertical="center"/>
    </xf>
    <xf numFmtId="3" fontId="5" fillId="0" borderId="53" xfId="0" applyNumberFormat="1" applyFont="1" applyFill="1" applyBorder="1"/>
    <xf numFmtId="166" fontId="5" fillId="0" borderId="51" xfId="0" applyNumberFormat="1" applyFont="1" applyFill="1" applyBorder="1"/>
    <xf numFmtId="169" fontId="5" fillId="0" borderId="51" xfId="0" applyNumberFormat="1" applyFont="1" applyFill="1" applyBorder="1"/>
    <xf numFmtId="165" fontId="5" fillId="0" borderId="54" xfId="0" applyNumberFormat="1" applyFont="1" applyFill="1" applyBorder="1" applyAlignment="1">
      <alignment horizontal="right"/>
    </xf>
    <xf numFmtId="165" fontId="5" fillId="0" borderId="53" xfId="0" applyNumberFormat="1" applyFont="1" applyFill="1" applyBorder="1" applyAlignment="1">
      <alignment horizontal="right"/>
    </xf>
    <xf numFmtId="165" fontId="5" fillId="0" borderId="51" xfId="0" applyNumberFormat="1" applyFont="1" applyFill="1" applyBorder="1" applyAlignment="1">
      <alignment horizontal="right"/>
    </xf>
    <xf numFmtId="167" fontId="5" fillId="0" borderId="51" xfId="0" applyNumberFormat="1" applyFont="1" applyFill="1" applyBorder="1"/>
    <xf numFmtId="3" fontId="5" fillId="0" borderId="54" xfId="0" applyNumberFormat="1" applyFont="1" applyFill="1" applyBorder="1"/>
    <xf numFmtId="165" fontId="5" fillId="0" borderId="53" xfId="0" applyNumberFormat="1" applyFont="1" applyFill="1" applyBorder="1"/>
    <xf numFmtId="0" fontId="8" fillId="0" borderId="9" xfId="0" applyFont="1" applyBorder="1" applyAlignment="1">
      <alignment horizontal="center"/>
    </xf>
    <xf numFmtId="166" fontId="7" fillId="0" borderId="6" xfId="0" applyNumberFormat="1" applyFont="1" applyBorder="1"/>
    <xf numFmtId="165" fontId="7" fillId="0" borderId="0" xfId="1" applyNumberFormat="1" applyFont="1" applyBorder="1"/>
    <xf numFmtId="44" fontId="8" fillId="0" borderId="4" xfId="1" applyFont="1" applyBorder="1"/>
    <xf numFmtId="0" fontId="0" fillId="0" borderId="0" xfId="0"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xf>
    <xf numFmtId="4" fontId="7" fillId="0" borderId="69" xfId="0" applyNumberFormat="1" applyFont="1" applyBorder="1" applyAlignment="1">
      <alignment horizontal="center"/>
    </xf>
    <xf numFmtId="170" fontId="0" fillId="0" borderId="0" xfId="0" applyNumberFormat="1"/>
    <xf numFmtId="170" fontId="23" fillId="0" borderId="0" xfId="0" applyNumberFormat="1" applyFont="1"/>
    <xf numFmtId="4" fontId="7" fillId="0" borderId="0" xfId="0" applyNumberFormat="1" applyFont="1" applyBorder="1" applyAlignment="1">
      <alignment horizontal="center"/>
    </xf>
    <xf numFmtId="168" fontId="8" fillId="0" borderId="2" xfId="1" applyNumberFormat="1" applyFont="1" applyBorder="1"/>
    <xf numFmtId="171" fontId="8" fillId="0" borderId="3" xfId="1" applyNumberFormat="1" applyFont="1" applyBorder="1"/>
    <xf numFmtId="4" fontId="8" fillId="0" borderId="4" xfId="0" applyNumberFormat="1" applyFont="1" applyBorder="1" applyAlignment="1">
      <alignment horizontal="center"/>
    </xf>
    <xf numFmtId="167" fontId="8" fillId="0" borderId="4" xfId="0" applyNumberFormat="1" applyFont="1" applyBorder="1" applyAlignment="1">
      <alignment horizontal="center"/>
    </xf>
    <xf numFmtId="3" fontId="8" fillId="0" borderId="4" xfId="0" applyNumberFormat="1" applyFont="1" applyBorder="1" applyAlignment="1">
      <alignment horizontal="right"/>
    </xf>
    <xf numFmtId="3" fontId="7" fillId="4" borderId="4" xfId="0" applyNumberFormat="1" applyFont="1" applyFill="1" applyBorder="1"/>
    <xf numFmtId="3" fontId="8" fillId="4" borderId="4" xfId="0" applyNumberFormat="1" applyFont="1" applyFill="1" applyBorder="1"/>
    <xf numFmtId="0" fontId="0" fillId="4" borderId="0" xfId="0" applyFill="1"/>
    <xf numFmtId="0" fontId="8" fillId="0" borderId="72" xfId="0" applyFont="1" applyBorder="1" applyAlignment="1">
      <alignment horizontal="center"/>
    </xf>
    <xf numFmtId="0" fontId="8" fillId="2" borderId="72" xfId="0" applyFont="1" applyFill="1" applyBorder="1" applyAlignment="1">
      <alignment horizontal="center"/>
    </xf>
    <xf numFmtId="0" fontId="8" fillId="2" borderId="58" xfId="0" applyFont="1" applyFill="1" applyBorder="1" applyAlignment="1">
      <alignment horizontal="center"/>
    </xf>
    <xf numFmtId="0" fontId="8" fillId="2" borderId="9" xfId="0" applyFont="1" applyFill="1" applyBorder="1" applyAlignment="1">
      <alignment horizontal="center"/>
    </xf>
    <xf numFmtId="0" fontId="8" fillId="2" borderId="30" xfId="0" applyFont="1" applyFill="1" applyBorder="1" applyAlignment="1">
      <alignment horizontal="center"/>
    </xf>
    <xf numFmtId="170" fontId="7" fillId="0" borderId="0" xfId="0" applyNumberFormat="1" applyFont="1"/>
    <xf numFmtId="49" fontId="8" fillId="0" borderId="4" xfId="0" applyNumberFormat="1" applyFont="1" applyBorder="1" applyAlignment="1">
      <alignment horizontal="center"/>
    </xf>
    <xf numFmtId="49" fontId="8" fillId="0" borderId="12" xfId="0" applyNumberFormat="1" applyFont="1" applyBorder="1" applyAlignment="1">
      <alignment horizontal="center"/>
    </xf>
    <xf numFmtId="49" fontId="8" fillId="2" borderId="12" xfId="0" applyNumberFormat="1" applyFont="1" applyFill="1" applyBorder="1" applyAlignment="1">
      <alignment horizontal="center"/>
    </xf>
    <xf numFmtId="0" fontId="8" fillId="2" borderId="12" xfId="0" applyFont="1" applyFill="1" applyBorder="1" applyAlignment="1">
      <alignment horizontal="center"/>
    </xf>
    <xf numFmtId="0" fontId="8" fillId="2" borderId="78" xfId="0" applyFont="1" applyFill="1" applyBorder="1" applyAlignment="1">
      <alignment horizontal="center"/>
    </xf>
    <xf numFmtId="167" fontId="7" fillId="0" borderId="0" xfId="1" applyNumberFormat="1" applyFont="1" applyBorder="1"/>
    <xf numFmtId="4" fontId="7" fillId="2" borderId="0" xfId="0" applyNumberFormat="1" applyFont="1" applyFill="1" applyBorder="1"/>
    <xf numFmtId="3" fontId="7" fillId="2" borderId="0" xfId="0" applyNumberFormat="1" applyFont="1" applyFill="1" applyBorder="1"/>
    <xf numFmtId="166" fontId="7" fillId="2" borderId="0" xfId="0" applyNumberFormat="1" applyFont="1" applyFill="1" applyBorder="1"/>
    <xf numFmtId="3" fontId="7" fillId="2" borderId="27" xfId="0" applyNumberFormat="1" applyFont="1" applyFill="1" applyBorder="1"/>
    <xf numFmtId="170" fontId="25" fillId="0" borderId="0" xfId="0" applyNumberFormat="1" applyFont="1"/>
    <xf numFmtId="3" fontId="7" fillId="2" borderId="30" xfId="0" applyNumberFormat="1" applyFont="1" applyFill="1" applyBorder="1"/>
    <xf numFmtId="166" fontId="7" fillId="0" borderId="0" xfId="0" applyNumberFormat="1" applyFont="1" applyFill="1" applyBorder="1"/>
    <xf numFmtId="167" fontId="7" fillId="0" borderId="22" xfId="1" applyNumberFormat="1" applyFont="1" applyBorder="1"/>
    <xf numFmtId="165" fontId="7" fillId="0" borderId="22" xfId="1" applyNumberFormat="1" applyFont="1" applyBorder="1"/>
    <xf numFmtId="167" fontId="7" fillId="0" borderId="22" xfId="0" applyNumberFormat="1" applyFont="1" applyBorder="1"/>
    <xf numFmtId="3" fontId="7" fillId="0" borderId="22" xfId="0" applyNumberFormat="1" applyFont="1" applyBorder="1"/>
    <xf numFmtId="4" fontId="7" fillId="0" borderId="22" xfId="0" applyNumberFormat="1" applyFont="1" applyBorder="1"/>
    <xf numFmtId="166" fontId="7" fillId="0" borderId="22" xfId="0" applyNumberFormat="1" applyFont="1" applyBorder="1"/>
    <xf numFmtId="4" fontId="7" fillId="2" borderId="22" xfId="0" applyNumberFormat="1" applyFont="1" applyFill="1" applyBorder="1"/>
    <xf numFmtId="3" fontId="7" fillId="2" borderId="22" xfId="0" applyNumberFormat="1" applyFont="1" applyFill="1" applyBorder="1"/>
    <xf numFmtId="166" fontId="7" fillId="2" borderId="22" xfId="0" applyNumberFormat="1" applyFont="1" applyFill="1" applyBorder="1"/>
    <xf numFmtId="3" fontId="7" fillId="2" borderId="40" xfId="0" applyNumberFormat="1" applyFont="1" applyFill="1" applyBorder="1"/>
    <xf numFmtId="0" fontId="8" fillId="0" borderId="53" xfId="0" applyFont="1" applyBorder="1"/>
    <xf numFmtId="164" fontId="8" fillId="0" borderId="51" xfId="1" applyNumberFormat="1" applyFont="1" applyBorder="1"/>
    <xf numFmtId="165" fontId="8" fillId="0" borderId="51" xfId="1" applyNumberFormat="1" applyFont="1" applyBorder="1"/>
    <xf numFmtId="4" fontId="8" fillId="2" borderId="51" xfId="0" applyNumberFormat="1" applyFont="1" applyFill="1" applyBorder="1"/>
    <xf numFmtId="4" fontId="7" fillId="2" borderId="56" xfId="0" applyNumberFormat="1" applyFont="1" applyFill="1" applyBorder="1"/>
    <xf numFmtId="3" fontId="8" fillId="2" borderId="51" xfId="0" applyNumberFormat="1" applyFont="1" applyFill="1" applyBorder="1" applyAlignment="1">
      <alignment horizontal="right"/>
    </xf>
    <xf numFmtId="4" fontId="8" fillId="2" borderId="51" xfId="0" applyNumberFormat="1" applyFont="1" applyFill="1" applyBorder="1" applyAlignment="1">
      <alignment horizontal="right"/>
    </xf>
    <xf numFmtId="3" fontId="8" fillId="2" borderId="54" xfId="0" applyNumberFormat="1" applyFont="1" applyFill="1" applyBorder="1"/>
    <xf numFmtId="164" fontId="8" fillId="0" borderId="0" xfId="1" applyNumberFormat="1" applyFont="1" applyBorder="1" applyAlignment="1">
      <alignment horizontal="center"/>
    </xf>
    <xf numFmtId="7" fontId="7" fillId="0" borderId="0" xfId="0" applyNumberFormat="1" applyFont="1"/>
    <xf numFmtId="0" fontId="7" fillId="0" borderId="4" xfId="0" applyFont="1" applyBorder="1"/>
    <xf numFmtId="44" fontId="7" fillId="0" borderId="6" xfId="1" applyFont="1" applyBorder="1"/>
    <xf numFmtId="44" fontId="26" fillId="0" borderId="0" xfId="0" applyNumberFormat="1" applyFont="1"/>
    <xf numFmtId="44" fontId="7" fillId="0" borderId="0" xfId="1" applyFont="1" applyBorder="1"/>
    <xf numFmtId="44" fontId="25" fillId="0" borderId="0" xfId="0" applyNumberFormat="1" applyFont="1"/>
    <xf numFmtId="170" fontId="8" fillId="0" borderId="4" xfId="0" applyNumberFormat="1" applyFont="1" applyBorder="1"/>
    <xf numFmtId="44" fontId="8" fillId="0" borderId="4" xfId="0" applyNumberFormat="1" applyFont="1" applyBorder="1"/>
    <xf numFmtId="164" fontId="8" fillId="0" borderId="4" xfId="0" applyNumberFormat="1" applyFont="1" applyBorder="1"/>
    <xf numFmtId="164" fontId="8" fillId="0" borderId="0" xfId="0" applyNumberFormat="1" applyFont="1" applyBorder="1"/>
    <xf numFmtId="167" fontId="8" fillId="0" borderId="51" xfId="0" applyNumberFormat="1" applyFont="1" applyBorder="1"/>
    <xf numFmtId="172" fontId="8" fillId="0" borderId="51" xfId="0" applyNumberFormat="1" applyFont="1" applyBorder="1"/>
    <xf numFmtId="4" fontId="7" fillId="5" borderId="0" xfId="0" applyNumberFormat="1" applyFont="1" applyFill="1" applyBorder="1"/>
    <xf numFmtId="4" fontId="7" fillId="5" borderId="22" xfId="0" applyNumberFormat="1" applyFont="1" applyFill="1" applyBorder="1"/>
    <xf numFmtId="0" fontId="8" fillId="0" borderId="8"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28" xfId="0" applyFont="1" applyBorder="1" applyAlignment="1">
      <alignment horizontal="center" vertical="center" wrapText="1"/>
    </xf>
    <xf numFmtId="49" fontId="8" fillId="0" borderId="36" xfId="0" applyNumberFormat="1" applyFont="1" applyBorder="1" applyAlignment="1">
      <alignment horizontal="center"/>
    </xf>
    <xf numFmtId="165" fontId="0" fillId="0" borderId="0" xfId="0" applyNumberFormat="1" applyAlignment="1">
      <alignment horizontal="center"/>
    </xf>
    <xf numFmtId="49" fontId="10" fillId="0" borderId="31" xfId="0" applyNumberFormat="1" applyFont="1" applyBorder="1" applyAlignment="1">
      <alignment horizontal="center"/>
    </xf>
    <xf numFmtId="164" fontId="6" fillId="0" borderId="24" xfId="1" applyNumberFormat="1" applyFont="1" applyFill="1" applyBorder="1" applyAlignment="1">
      <alignment horizontal="center"/>
    </xf>
    <xf numFmtId="165" fontId="6" fillId="0" borderId="29" xfId="1" applyNumberFormat="1" applyFont="1" applyFill="1" applyBorder="1"/>
    <xf numFmtId="3" fontId="6" fillId="0" borderId="24" xfId="0" applyNumberFormat="1" applyFont="1" applyFill="1" applyBorder="1"/>
    <xf numFmtId="166" fontId="6" fillId="0" borderId="5" xfId="0" applyNumberFormat="1" applyFont="1" applyFill="1" applyBorder="1"/>
    <xf numFmtId="167" fontId="6" fillId="0" borderId="5" xfId="0" applyNumberFormat="1" applyFont="1" applyFill="1" applyBorder="1"/>
    <xf numFmtId="165" fontId="6" fillId="0" borderId="29" xfId="0" applyNumberFormat="1" applyFont="1" applyFill="1" applyBorder="1" applyAlignment="1">
      <alignment horizontal="right"/>
    </xf>
    <xf numFmtId="165" fontId="6" fillId="0" borderId="24" xfId="0" applyNumberFormat="1" applyFont="1" applyFill="1" applyBorder="1" applyAlignment="1">
      <alignment horizontal="right"/>
    </xf>
    <xf numFmtId="165" fontId="6" fillId="0" borderId="5" xfId="0" applyNumberFormat="1" applyFont="1" applyFill="1" applyBorder="1" applyAlignment="1">
      <alignment horizontal="right"/>
    </xf>
    <xf numFmtId="3" fontId="6" fillId="0" borderId="29" xfId="0" applyNumberFormat="1" applyFont="1" applyFill="1" applyBorder="1"/>
    <xf numFmtId="165" fontId="6" fillId="0" borderId="7" xfId="0" applyNumberFormat="1" applyFont="1" applyFill="1" applyBorder="1"/>
    <xf numFmtId="3" fontId="6" fillId="0" borderId="69" xfId="0" applyNumberFormat="1" applyFont="1" applyFill="1" applyBorder="1"/>
    <xf numFmtId="165" fontId="6" fillId="0" borderId="48" xfId="0" applyNumberFormat="1" applyFont="1" applyFill="1" applyBorder="1"/>
    <xf numFmtId="165" fontId="5" fillId="0" borderId="49" xfId="0" applyNumberFormat="1" applyFont="1" applyFill="1" applyBorder="1"/>
    <xf numFmtId="167" fontId="8" fillId="0" borderId="51" xfId="0" applyNumberFormat="1" applyFont="1" applyFill="1" applyBorder="1"/>
    <xf numFmtId="0" fontId="8" fillId="0" borderId="11" xfId="0" applyFont="1" applyBorder="1" applyAlignment="1"/>
    <xf numFmtId="0" fontId="27" fillId="0" borderId="0" xfId="2"/>
    <xf numFmtId="0" fontId="31" fillId="0" borderId="49" xfId="2" applyFont="1" applyFill="1" applyBorder="1" applyAlignment="1">
      <alignment horizontal="center" vertical="center" wrapText="1"/>
    </xf>
    <xf numFmtId="0" fontId="31" fillId="0" borderId="56" xfId="2" applyFont="1" applyFill="1" applyBorder="1" applyAlignment="1">
      <alignment horizontal="center" vertical="center" wrapText="1"/>
    </xf>
    <xf numFmtId="0" fontId="31" fillId="0" borderId="21" xfId="2" applyFont="1" applyFill="1" applyBorder="1" applyAlignment="1">
      <alignment horizontal="center" vertical="center" wrapText="1"/>
    </xf>
    <xf numFmtId="0" fontId="31" fillId="0" borderId="57" xfId="2" applyFont="1" applyBorder="1"/>
    <xf numFmtId="10" fontId="31" fillId="0" borderId="55" xfId="2" applyNumberFormat="1" applyFont="1" applyBorder="1" applyAlignment="1">
      <alignment horizontal="right"/>
    </xf>
    <xf numFmtId="3" fontId="31" fillId="0" borderId="57" xfId="2" applyNumberFormat="1" applyFont="1" applyBorder="1"/>
    <xf numFmtId="3" fontId="31" fillId="0" borderId="0" xfId="2" applyNumberFormat="1" applyFont="1" applyBorder="1"/>
    <xf numFmtId="3" fontId="31" fillId="0" borderId="55" xfId="2" applyNumberFormat="1" applyFont="1" applyBorder="1"/>
    <xf numFmtId="3" fontId="31" fillId="0" borderId="30" xfId="2" applyNumberFormat="1" applyFont="1" applyBorder="1"/>
    <xf numFmtId="10" fontId="31" fillId="0" borderId="57" xfId="2" applyNumberFormat="1" applyFont="1" applyBorder="1" applyAlignment="1">
      <alignment horizontal="right"/>
    </xf>
    <xf numFmtId="10" fontId="31" fillId="0" borderId="59" xfId="2" applyNumberFormat="1" applyFont="1" applyBorder="1" applyAlignment="1">
      <alignment horizontal="right"/>
    </xf>
    <xf numFmtId="3" fontId="31" fillId="0" borderId="59" xfId="2" applyNumberFormat="1" applyFont="1" applyBorder="1"/>
    <xf numFmtId="0" fontId="31" fillId="0" borderId="49" xfId="2" applyFont="1" applyBorder="1"/>
    <xf numFmtId="10" fontId="31" fillId="0" borderId="49" xfId="2" applyNumberFormat="1" applyFont="1" applyBorder="1" applyAlignment="1">
      <alignment horizontal="right"/>
    </xf>
    <xf numFmtId="3" fontId="32" fillId="0" borderId="49" xfId="2" applyNumberFormat="1" applyFont="1" applyBorder="1"/>
    <xf numFmtId="0" fontId="7" fillId="0" borderId="70" xfId="0" applyFont="1" applyBorder="1"/>
    <xf numFmtId="164" fontId="7" fillId="0" borderId="71" xfId="1" applyNumberFormat="1" applyFont="1" applyBorder="1" applyAlignment="1">
      <alignment horizontal="center"/>
    </xf>
    <xf numFmtId="165" fontId="7" fillId="0" borderId="8" xfId="1" applyNumberFormat="1" applyFont="1" applyBorder="1"/>
    <xf numFmtId="167" fontId="7" fillId="0" borderId="71" xfId="0" applyNumberFormat="1" applyFont="1" applyBorder="1"/>
    <xf numFmtId="3" fontId="7" fillId="0" borderId="8" xfId="0" applyNumberFormat="1" applyFont="1" applyFill="1" applyBorder="1" applyAlignment="1">
      <alignment horizontal="right"/>
    </xf>
    <xf numFmtId="0" fontId="7" fillId="0" borderId="28" xfId="0" applyFont="1" applyBorder="1"/>
    <xf numFmtId="164" fontId="7" fillId="0" borderId="8" xfId="1" applyNumberFormat="1" applyFont="1" applyBorder="1" applyAlignment="1">
      <alignment horizontal="center"/>
    </xf>
    <xf numFmtId="167" fontId="7" fillId="0" borderId="8" xfId="0" applyNumberFormat="1" applyFont="1" applyBorder="1"/>
    <xf numFmtId="0" fontId="7" fillId="0" borderId="34" xfId="0" applyFont="1" applyBorder="1"/>
    <xf numFmtId="164" fontId="7" fillId="0" borderId="36" xfId="1" applyNumberFormat="1" applyFont="1" applyBorder="1" applyAlignment="1">
      <alignment horizontal="center"/>
    </xf>
    <xf numFmtId="165" fontId="7" fillId="0" borderId="36" xfId="1" applyNumberFormat="1" applyFont="1" applyBorder="1"/>
    <xf numFmtId="167" fontId="7" fillId="0" borderId="36" xfId="0" applyNumberFormat="1" applyFont="1" applyBorder="1"/>
    <xf numFmtId="164" fontId="8" fillId="0" borderId="51" xfId="1" applyNumberFormat="1" applyFont="1" applyBorder="1" applyAlignment="1">
      <alignment horizontal="center"/>
    </xf>
    <xf numFmtId="3" fontId="8" fillId="0" borderId="51" xfId="0" applyNumberFormat="1" applyFont="1" applyFill="1" applyBorder="1" applyAlignment="1">
      <alignment horizontal="right"/>
    </xf>
    <xf numFmtId="165" fontId="8" fillId="0" borderId="54" xfId="0" applyNumberFormat="1" applyFont="1" applyFill="1" applyBorder="1" applyAlignment="1">
      <alignment horizontal="right"/>
    </xf>
    <xf numFmtId="0" fontId="8" fillId="0" borderId="8" xfId="0" applyFont="1" applyFill="1" applyBorder="1" applyAlignment="1">
      <alignment horizontal="center"/>
    </xf>
    <xf numFmtId="49" fontId="8" fillId="0" borderId="8" xfId="0" applyNumberFormat="1" applyFont="1" applyFill="1" applyBorder="1" applyAlignment="1">
      <alignment horizontal="center"/>
    </xf>
    <xf numFmtId="49" fontId="8" fillId="0" borderId="36" xfId="0" applyNumberFormat="1" applyFont="1" applyFill="1" applyBorder="1" applyAlignment="1">
      <alignment horizontal="center"/>
    </xf>
    <xf numFmtId="49" fontId="8" fillId="0" borderId="37" xfId="0" applyNumberFormat="1" applyFont="1" applyFill="1" applyBorder="1" applyAlignment="1">
      <alignment horizontal="center"/>
    </xf>
    <xf numFmtId="3" fontId="7" fillId="0" borderId="71" xfId="0" applyNumberFormat="1" applyFont="1" applyBorder="1"/>
    <xf numFmtId="167" fontId="7" fillId="0" borderId="71" xfId="0" applyNumberFormat="1" applyFont="1" applyBorder="1" applyAlignment="1">
      <alignment horizontal="right"/>
    </xf>
    <xf numFmtId="3" fontId="7" fillId="0" borderId="8" xfId="0" applyNumberFormat="1" applyFont="1" applyBorder="1" applyAlignment="1">
      <alignment horizontal="right"/>
    </xf>
    <xf numFmtId="3" fontId="7" fillId="0" borderId="29" xfId="0" applyNumberFormat="1" applyFont="1" applyBorder="1" applyAlignment="1">
      <alignment horizontal="right"/>
    </xf>
    <xf numFmtId="3" fontId="7" fillId="0" borderId="8" xfId="0" applyNumberFormat="1" applyFont="1" applyBorder="1"/>
    <xf numFmtId="167" fontId="7" fillId="0" borderId="8" xfId="0" applyNumberFormat="1" applyFont="1" applyBorder="1" applyAlignment="1">
      <alignment horizontal="right"/>
    </xf>
    <xf numFmtId="167" fontId="7" fillId="0" borderId="36" xfId="0" applyNumberFormat="1" applyFont="1" applyBorder="1" applyAlignment="1">
      <alignment horizontal="right"/>
    </xf>
    <xf numFmtId="3" fontId="8" fillId="0" borderId="36" xfId="0" applyNumberFormat="1" applyFont="1" applyBorder="1"/>
    <xf numFmtId="168" fontId="8" fillId="0" borderId="36" xfId="1" applyNumberFormat="1" applyFont="1" applyBorder="1"/>
    <xf numFmtId="3" fontId="8" fillId="0" borderId="54" xfId="0" applyNumberFormat="1" applyFont="1" applyBorder="1" applyAlignment="1">
      <alignment horizontal="right"/>
    </xf>
    <xf numFmtId="49" fontId="14" fillId="0" borderId="36" xfId="0" applyNumberFormat="1" applyFont="1" applyFill="1" applyBorder="1" applyAlignment="1">
      <alignment horizontal="center"/>
    </xf>
    <xf numFmtId="0" fontId="14" fillId="0" borderId="36" xfId="0" applyFont="1" applyFill="1" applyBorder="1" applyAlignment="1">
      <alignment horizontal="center"/>
    </xf>
    <xf numFmtId="49" fontId="14" fillId="0" borderId="37" xfId="0" applyNumberFormat="1" applyFont="1" applyFill="1" applyBorder="1" applyAlignment="1">
      <alignment horizontal="center"/>
    </xf>
    <xf numFmtId="0" fontId="7" fillId="0" borderId="70" xfId="0" applyFont="1" applyFill="1" applyBorder="1"/>
    <xf numFmtId="164" fontId="7" fillId="0" borderId="8" xfId="1" applyNumberFormat="1" applyFont="1" applyFill="1" applyBorder="1" applyAlignment="1">
      <alignment horizontal="right"/>
    </xf>
    <xf numFmtId="165" fontId="7" fillId="0" borderId="8" xfId="1" applyNumberFormat="1" applyFont="1" applyFill="1" applyBorder="1"/>
    <xf numFmtId="166" fontId="7" fillId="0" borderId="8" xfId="0" applyNumberFormat="1" applyFont="1" applyFill="1" applyBorder="1"/>
    <xf numFmtId="167" fontId="7" fillId="0" borderId="8" xfId="0" applyNumberFormat="1" applyFont="1" applyFill="1" applyBorder="1"/>
    <xf numFmtId="3" fontId="7" fillId="0" borderId="8" xfId="0" applyNumberFormat="1" applyFont="1" applyFill="1" applyBorder="1" applyAlignment="1"/>
    <xf numFmtId="3" fontId="7" fillId="0" borderId="29" xfId="0" applyNumberFormat="1" applyFont="1" applyFill="1" applyBorder="1" applyAlignment="1"/>
    <xf numFmtId="0" fontId="7" fillId="0" borderId="28" xfId="0" applyFont="1" applyFill="1" applyBorder="1"/>
    <xf numFmtId="164" fontId="7" fillId="0" borderId="36" xfId="1" applyNumberFormat="1" applyFont="1" applyFill="1" applyBorder="1" applyAlignment="1">
      <alignment horizontal="right"/>
    </xf>
    <xf numFmtId="165" fontId="7" fillId="0" borderId="36" xfId="1" applyNumberFormat="1" applyFont="1" applyFill="1" applyBorder="1"/>
    <xf numFmtId="166" fontId="7" fillId="0" borderId="36" xfId="0" applyNumberFormat="1" applyFont="1" applyFill="1" applyBorder="1"/>
    <xf numFmtId="167" fontId="7" fillId="0" borderId="36" xfId="0" applyNumberFormat="1" applyFont="1" applyFill="1" applyBorder="1"/>
    <xf numFmtId="3" fontId="7" fillId="0" borderId="36" xfId="0" applyNumberFormat="1" applyFont="1" applyFill="1" applyBorder="1" applyAlignment="1"/>
    <xf numFmtId="3" fontId="7" fillId="0" borderId="37" xfId="0" applyNumberFormat="1" applyFont="1" applyFill="1" applyBorder="1" applyAlignment="1"/>
    <xf numFmtId="0" fontId="7" fillId="0" borderId="53" xfId="0" applyFont="1" applyFill="1" applyBorder="1"/>
    <xf numFmtId="164" fontId="8" fillId="0" borderId="51" xfId="1" applyNumberFormat="1" applyFont="1" applyFill="1" applyBorder="1" applyAlignment="1">
      <alignment horizontal="center"/>
    </xf>
    <xf numFmtId="165" fontId="8" fillId="0" borderId="51" xfId="1" applyNumberFormat="1" applyFont="1" applyFill="1" applyBorder="1"/>
    <xf numFmtId="166" fontId="8" fillId="0" borderId="36" xfId="0" applyNumberFormat="1" applyFont="1" applyFill="1" applyBorder="1"/>
    <xf numFmtId="3" fontId="8" fillId="0" borderId="51" xfId="0" applyNumberFormat="1" applyFont="1" applyFill="1" applyBorder="1" applyAlignment="1"/>
    <xf numFmtId="3" fontId="8" fillId="0" borderId="54" xfId="0" applyNumberFormat="1" applyFont="1" applyFill="1" applyBorder="1" applyAlignment="1"/>
    <xf numFmtId="0" fontId="8" fillId="0" borderId="71" xfId="0" applyFont="1" applyBorder="1" applyAlignment="1">
      <alignment horizontal="center" vertical="center" wrapText="1"/>
    </xf>
    <xf numFmtId="9" fontId="8" fillId="0" borderId="8" xfId="0" applyNumberFormat="1" applyFont="1" applyBorder="1" applyAlignment="1">
      <alignment horizontal="center" vertical="center" wrapText="1"/>
    </xf>
    <xf numFmtId="166" fontId="7" fillId="0" borderId="8" xfId="0" applyNumberFormat="1" applyFont="1" applyBorder="1"/>
    <xf numFmtId="3" fontId="7" fillId="0" borderId="29" xfId="0" applyNumberFormat="1" applyFont="1" applyBorder="1"/>
    <xf numFmtId="3" fontId="7" fillId="0" borderId="13" xfId="0" applyNumberFormat="1" applyFont="1" applyFill="1" applyBorder="1"/>
    <xf numFmtId="3" fontId="7" fillId="0" borderId="70" xfId="0" applyNumberFormat="1" applyFont="1" applyFill="1" applyBorder="1"/>
    <xf numFmtId="3" fontId="7" fillId="0" borderId="71" xfId="0" applyNumberFormat="1" applyFont="1" applyFill="1" applyBorder="1"/>
    <xf numFmtId="3" fontId="7" fillId="0" borderId="66" xfId="0" applyNumberFormat="1" applyFont="1" applyFill="1" applyBorder="1"/>
    <xf numFmtId="3" fontId="7" fillId="0" borderId="72" xfId="0" applyNumberFormat="1" applyFont="1" applyFill="1" applyBorder="1"/>
    <xf numFmtId="3" fontId="7" fillId="0" borderId="23" xfId="0" applyNumberFormat="1" applyFont="1" applyFill="1" applyBorder="1"/>
    <xf numFmtId="3" fontId="7" fillId="0" borderId="28" xfId="0" applyNumberFormat="1" applyFont="1" applyFill="1" applyBorder="1"/>
    <xf numFmtId="3" fontId="7" fillId="0" borderId="29" xfId="0" applyNumberFormat="1" applyFont="1" applyFill="1" applyBorder="1"/>
    <xf numFmtId="3" fontId="7" fillId="0" borderId="9" xfId="0" applyNumberFormat="1" applyFont="1" applyFill="1" applyBorder="1"/>
    <xf numFmtId="3" fontId="7" fillId="0" borderId="31" xfId="0" applyNumberFormat="1" applyFont="1" applyFill="1" applyBorder="1"/>
    <xf numFmtId="0" fontId="8" fillId="0" borderId="64" xfId="0" applyFont="1" applyFill="1" applyBorder="1" applyAlignment="1">
      <alignment horizontal="center"/>
    </xf>
    <xf numFmtId="3" fontId="7" fillId="0" borderId="66" xfId="0" applyNumberFormat="1" applyFont="1" applyBorder="1"/>
    <xf numFmtId="3" fontId="13" fillId="0" borderId="29" xfId="0" applyNumberFormat="1" applyFont="1" applyBorder="1" applyAlignment="1">
      <alignment horizontal="right" vertical="center" wrapText="1"/>
    </xf>
    <xf numFmtId="3" fontId="8" fillId="0" borderId="54" xfId="0" applyNumberFormat="1" applyFont="1" applyBorder="1"/>
    <xf numFmtId="0" fontId="7" fillId="0" borderId="20" xfId="0" applyFont="1" applyBorder="1"/>
    <xf numFmtId="9" fontId="8" fillId="0" borderId="28" xfId="0" applyNumberFormat="1" applyFont="1" applyBorder="1" applyAlignment="1">
      <alignment horizontal="center" vertical="center" wrapText="1"/>
    </xf>
    <xf numFmtId="166" fontId="7" fillId="0" borderId="28" xfId="0" applyNumberFormat="1" applyFont="1" applyBorder="1"/>
    <xf numFmtId="167" fontId="7" fillId="0" borderId="53" xfId="0" applyNumberFormat="1" applyFont="1" applyBorder="1" applyAlignment="1">
      <alignment horizontal="right"/>
    </xf>
    <xf numFmtId="49" fontId="8" fillId="0" borderId="64" xfId="0" applyNumberFormat="1" applyFont="1" applyFill="1" applyBorder="1" applyAlignment="1">
      <alignment horizontal="center"/>
    </xf>
    <xf numFmtId="165" fontId="7" fillId="0" borderId="66" xfId="0" applyNumberFormat="1" applyFont="1" applyFill="1" applyBorder="1" applyAlignment="1">
      <alignment horizontal="right"/>
    </xf>
    <xf numFmtId="165" fontId="7" fillId="0" borderId="29" xfId="0" applyNumberFormat="1" applyFont="1" applyFill="1" applyBorder="1" applyAlignment="1">
      <alignment horizontal="right"/>
    </xf>
    <xf numFmtId="49" fontId="8" fillId="0" borderId="63" xfId="0" applyNumberFormat="1" applyFont="1" applyBorder="1" applyAlignment="1">
      <alignment horizontal="center"/>
    </xf>
    <xf numFmtId="49" fontId="8" fillId="0" borderId="64" xfId="0" applyNumberFormat="1" applyFont="1" applyBorder="1" applyAlignment="1">
      <alignment horizontal="center"/>
    </xf>
    <xf numFmtId="49" fontId="8" fillId="0" borderId="43" xfId="0" applyNumberFormat="1" applyFont="1" applyBorder="1" applyAlignment="1">
      <alignment horizontal="center"/>
    </xf>
    <xf numFmtId="49" fontId="8" fillId="0" borderId="42" xfId="0" applyNumberFormat="1" applyFont="1" applyBorder="1" applyAlignment="1">
      <alignment horizontal="center"/>
    </xf>
    <xf numFmtId="49" fontId="8" fillId="0" borderId="46" xfId="0" applyNumberFormat="1" applyFont="1" applyBorder="1" applyAlignment="1">
      <alignment horizontal="center"/>
    </xf>
    <xf numFmtId="0" fontId="7" fillId="0" borderId="45" xfId="0" applyFont="1" applyBorder="1" applyAlignment="1">
      <alignment horizontal="center" vertical="center"/>
    </xf>
    <xf numFmtId="0" fontId="8" fillId="0" borderId="45"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61" xfId="0" applyFont="1" applyBorder="1" applyAlignment="1">
      <alignment horizontal="center" vertical="center"/>
    </xf>
    <xf numFmtId="49" fontId="10" fillId="0" borderId="34" xfId="0" applyNumberFormat="1" applyFont="1" applyFill="1" applyBorder="1" applyAlignment="1">
      <alignment horizontal="center"/>
    </xf>
    <xf numFmtId="49" fontId="10" fillId="0" borderId="36" xfId="0" applyNumberFormat="1" applyFont="1" applyFill="1" applyBorder="1" applyAlignment="1">
      <alignment horizontal="center"/>
    </xf>
    <xf numFmtId="49" fontId="10" fillId="0" borderId="37" xfId="0" applyNumberFormat="1" applyFont="1" applyFill="1" applyBorder="1" applyAlignment="1">
      <alignment horizontal="center"/>
    </xf>
    <xf numFmtId="4" fontId="10" fillId="0" borderId="8" xfId="0" applyNumberFormat="1" applyFont="1" applyFill="1" applyBorder="1" applyAlignment="1">
      <alignment horizontal="center" vertical="center" wrapText="1"/>
    </xf>
    <xf numFmtId="0" fontId="10" fillId="0" borderId="36" xfId="0" applyFont="1" applyFill="1" applyBorder="1" applyAlignment="1">
      <alignment horizontal="center"/>
    </xf>
    <xf numFmtId="164" fontId="5" fillId="0" borderId="53" xfId="1" applyNumberFormat="1" applyFont="1" applyFill="1" applyBorder="1" applyAlignment="1">
      <alignment horizontal="center"/>
    </xf>
    <xf numFmtId="165" fontId="5" fillId="0" borderId="54" xfId="1" applyNumberFormat="1" applyFont="1" applyFill="1" applyBorder="1"/>
    <xf numFmtId="167" fontId="0" fillId="0" borderId="0" xfId="0" applyNumberFormat="1" applyFill="1" applyBorder="1"/>
    <xf numFmtId="0" fontId="33" fillId="0" borderId="0" xfId="0" applyFont="1" applyFill="1"/>
    <xf numFmtId="0" fontId="33" fillId="0" borderId="0" xfId="0" applyFont="1" applyFill="1" applyAlignment="1">
      <alignment horizontal="center"/>
    </xf>
    <xf numFmtId="4" fontId="33" fillId="0" borderId="0" xfId="0" applyNumberFormat="1" applyFont="1" applyFill="1" applyAlignment="1">
      <alignment horizontal="center"/>
    </xf>
    <xf numFmtId="0" fontId="19" fillId="0" borderId="0" xfId="0" applyFont="1" applyFill="1"/>
    <xf numFmtId="0" fontId="19" fillId="0" borderId="0" xfId="0" applyFont="1"/>
    <xf numFmtId="0" fontId="33" fillId="0" borderId="0" xfId="0" applyFont="1" applyBorder="1" applyAlignment="1">
      <alignment horizontal="center" vertical="center"/>
    </xf>
    <xf numFmtId="0" fontId="19" fillId="0" borderId="0" xfId="0" applyFont="1" applyAlignment="1"/>
    <xf numFmtId="0" fontId="18" fillId="0" borderId="0" xfId="0" applyFont="1"/>
    <xf numFmtId="0" fontId="18" fillId="0" borderId="0" xfId="0" applyFont="1" applyAlignment="1"/>
    <xf numFmtId="0" fontId="18" fillId="0" borderId="0" xfId="0" applyFont="1" applyFill="1"/>
    <xf numFmtId="0" fontId="35" fillId="0" borderId="0" xfId="0" applyFont="1" applyFill="1" applyAlignment="1"/>
    <xf numFmtId="0" fontId="18" fillId="0" borderId="0" xfId="0" applyFont="1" applyBorder="1" applyAlignment="1">
      <alignment vertical="center"/>
    </xf>
    <xf numFmtId="2" fontId="0" fillId="0" borderId="23" xfId="0" applyNumberFormat="1" applyBorder="1"/>
    <xf numFmtId="0" fontId="18" fillId="0" borderId="0" xfId="0" applyFont="1" applyAlignment="1">
      <alignment vertical="center" wrapText="1"/>
    </xf>
    <xf numFmtId="49" fontId="8" fillId="0" borderId="36" xfId="0" applyNumberFormat="1" applyFont="1" applyFill="1" applyBorder="1" applyAlignment="1">
      <alignment horizontal="center" vertical="justify"/>
    </xf>
    <xf numFmtId="49" fontId="8" fillId="0" borderId="37" xfId="0" applyNumberFormat="1" applyFont="1" applyFill="1" applyBorder="1" applyAlignment="1">
      <alignment horizontal="center" vertical="justify"/>
    </xf>
    <xf numFmtId="49" fontId="8" fillId="0" borderId="3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0" fontId="8" fillId="0" borderId="37" xfId="0" applyFont="1" applyBorder="1" applyAlignment="1">
      <alignment horizontal="center" vertical="center" wrapText="1"/>
    </xf>
    <xf numFmtId="49" fontId="8" fillId="0" borderId="37" xfId="0" applyNumberFormat="1" applyFont="1" applyBorder="1" applyAlignment="1">
      <alignment horizontal="center" vertical="center" wrapText="1"/>
    </xf>
    <xf numFmtId="0" fontId="39" fillId="0" borderId="0" xfId="2" applyFont="1" applyFill="1" applyBorder="1"/>
    <xf numFmtId="0" fontId="39" fillId="0" borderId="0" xfId="2" applyFont="1"/>
    <xf numFmtId="0" fontId="40" fillId="0" borderId="0" xfId="2" applyFont="1"/>
    <xf numFmtId="0" fontId="41" fillId="0" borderId="0" xfId="3" applyFont="1" applyFill="1" applyBorder="1"/>
    <xf numFmtId="0" fontId="41" fillId="0" borderId="0" xfId="3" applyFont="1"/>
    <xf numFmtId="0" fontId="41" fillId="0" borderId="0" xfId="2" applyFont="1" applyFill="1" applyBorder="1"/>
    <xf numFmtId="49" fontId="8" fillId="0" borderId="8" xfId="0" applyNumberFormat="1" applyFont="1" applyBorder="1" applyAlignment="1">
      <alignment horizontal="center" vertical="justify" wrapText="1"/>
    </xf>
    <xf numFmtId="10" fontId="0" fillId="0" borderId="0" xfId="0" applyNumberFormat="1"/>
    <xf numFmtId="3" fontId="7" fillId="0" borderId="4" xfId="0" applyNumberFormat="1" applyFont="1" applyFill="1" applyBorder="1"/>
    <xf numFmtId="0" fontId="7" fillId="0" borderId="0" xfId="0" applyFont="1" applyFill="1" applyBorder="1" applyAlignment="1">
      <alignment horizontal="left"/>
    </xf>
    <xf numFmtId="0" fontId="7" fillId="0" borderId="69" xfId="0" applyFont="1" applyFill="1" applyBorder="1" applyAlignment="1">
      <alignment horizontal="right"/>
    </xf>
    <xf numFmtId="0" fontId="7" fillId="0" borderId="0" xfId="0" applyFont="1" applyFill="1" applyBorder="1" applyAlignment="1">
      <alignment horizontal="right"/>
    </xf>
    <xf numFmtId="0" fontId="7" fillId="0" borderId="9" xfId="0" applyFont="1" applyFill="1" applyBorder="1" applyAlignment="1">
      <alignment horizontal="left"/>
    </xf>
    <xf numFmtId="4" fontId="7" fillId="0" borderId="30" xfId="0" applyNumberFormat="1" applyFont="1" applyFill="1" applyBorder="1" applyAlignment="1">
      <alignment horizontal="right"/>
    </xf>
    <xf numFmtId="0" fontId="7" fillId="0" borderId="20" xfId="0" applyFont="1" applyFill="1" applyBorder="1" applyAlignment="1">
      <alignment horizontal="left"/>
    </xf>
    <xf numFmtId="0" fontId="7" fillId="0" borderId="56" xfId="0" applyFont="1" applyFill="1" applyBorder="1" applyAlignment="1">
      <alignment horizontal="left"/>
    </xf>
    <xf numFmtId="0" fontId="7" fillId="0" borderId="21" xfId="0" applyFont="1" applyFill="1" applyBorder="1" applyAlignment="1">
      <alignment horizontal="left"/>
    </xf>
    <xf numFmtId="4" fontId="7" fillId="0" borderId="21" xfId="0" applyNumberFormat="1" applyFont="1" applyFill="1" applyBorder="1" applyAlignment="1">
      <alignment horizontal="right"/>
    </xf>
    <xf numFmtId="4" fontId="7" fillId="0" borderId="69" xfId="0" applyNumberFormat="1" applyFont="1" applyFill="1" applyBorder="1" applyAlignment="1"/>
    <xf numFmtId="4" fontId="7" fillId="0" borderId="0" xfId="0" applyNumberFormat="1" applyFont="1" applyFill="1" applyBorder="1" applyAlignment="1"/>
    <xf numFmtId="4" fontId="8" fillId="0" borderId="69" xfId="0" applyNumberFormat="1" applyFont="1" applyFill="1" applyBorder="1" applyAlignment="1"/>
    <xf numFmtId="4" fontId="8" fillId="0" borderId="0" xfId="0" applyNumberFormat="1" applyFont="1" applyFill="1" applyBorder="1" applyAlignment="1"/>
    <xf numFmtId="4" fontId="7" fillId="0" borderId="69" xfId="0" applyNumberFormat="1" applyFont="1" applyFill="1" applyBorder="1" applyAlignment="1">
      <alignment horizontal="right"/>
    </xf>
    <xf numFmtId="1" fontId="10" fillId="0" borderId="8" xfId="0" applyNumberFormat="1" applyFont="1" applyFill="1" applyBorder="1" applyAlignment="1">
      <alignment horizontal="center"/>
    </xf>
    <xf numFmtId="9" fontId="7" fillId="0" borderId="69" xfId="0" applyNumberFormat="1" applyFont="1" applyFill="1" applyBorder="1" applyAlignment="1">
      <alignment horizontal="right"/>
    </xf>
    <xf numFmtId="4" fontId="12" fillId="0" borderId="0" xfId="0" applyNumberFormat="1" applyFont="1" applyFill="1" applyBorder="1" applyAlignment="1">
      <alignment horizontal="right"/>
    </xf>
    <xf numFmtId="9" fontId="7" fillId="0" borderId="69" xfId="0" applyNumberFormat="1" applyFont="1" applyFill="1" applyBorder="1" applyAlignment="1">
      <alignment horizontal="left"/>
    </xf>
    <xf numFmtId="0" fontId="7" fillId="0" borderId="70"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Fill="1" applyBorder="1" applyAlignment="1">
      <alignment horizontal="right"/>
    </xf>
    <xf numFmtId="0" fontId="7" fillId="0" borderId="22" xfId="0" applyFont="1" applyFill="1" applyBorder="1" applyAlignment="1">
      <alignment horizontal="right"/>
    </xf>
    <xf numFmtId="4" fontId="7" fillId="0" borderId="40" xfId="0" applyNumberFormat="1" applyFont="1" applyFill="1" applyBorder="1" applyAlignment="1">
      <alignment horizontal="right"/>
    </xf>
    <xf numFmtId="0" fontId="7" fillId="0" borderId="31" xfId="0" applyFont="1" applyFill="1" applyBorder="1" applyAlignment="1">
      <alignment horizontal="center" vertical="center"/>
    </xf>
    <xf numFmtId="0" fontId="7" fillId="6" borderId="20" xfId="0" applyFont="1" applyFill="1" applyBorder="1" applyAlignment="1">
      <alignment horizontal="right"/>
    </xf>
    <xf numFmtId="0" fontId="7" fillId="6" borderId="56" xfId="0" applyFont="1" applyFill="1" applyBorder="1" applyAlignment="1">
      <alignment horizontal="right"/>
    </xf>
    <xf numFmtId="4" fontId="8" fillId="6" borderId="21" xfId="0" applyNumberFormat="1" applyFont="1" applyFill="1" applyBorder="1" applyAlignment="1">
      <alignment horizontal="right"/>
    </xf>
    <xf numFmtId="0" fontId="8" fillId="0" borderId="73" xfId="0" applyFont="1" applyFill="1" applyBorder="1" applyAlignment="1">
      <alignment horizontal="center"/>
    </xf>
    <xf numFmtId="0" fontId="8" fillId="0" borderId="14" xfId="0" applyFont="1" applyFill="1" applyBorder="1" applyAlignment="1">
      <alignment horizontal="center"/>
    </xf>
    <xf numFmtId="0" fontId="8" fillId="0" borderId="72" xfId="0" applyFont="1" applyFill="1" applyBorder="1" applyAlignment="1">
      <alignment horizontal="center"/>
    </xf>
    <xf numFmtId="0" fontId="7" fillId="0" borderId="73" xfId="0" applyFont="1" applyFill="1" applyBorder="1" applyAlignment="1">
      <alignment horizontal="right"/>
    </xf>
    <xf numFmtId="0" fontId="7" fillId="0" borderId="14" xfId="0" applyFont="1" applyFill="1" applyBorder="1" applyAlignment="1">
      <alignment horizontal="right"/>
    </xf>
    <xf numFmtId="0" fontId="7" fillId="0" borderId="58" xfId="0" applyFont="1" applyFill="1" applyBorder="1" applyAlignment="1">
      <alignment horizontal="right"/>
    </xf>
    <xf numFmtId="0" fontId="7" fillId="0" borderId="31" xfId="0" applyFont="1" applyBorder="1" applyAlignment="1">
      <alignment horizontal="center" vertical="center"/>
    </xf>
    <xf numFmtId="0" fontId="7" fillId="0" borderId="56" xfId="0" applyFont="1" applyFill="1" applyBorder="1" applyAlignment="1">
      <alignment horizontal="right"/>
    </xf>
    <xf numFmtId="4" fontId="8" fillId="0" borderId="21" xfId="0" applyNumberFormat="1" applyFont="1" applyFill="1" applyBorder="1" applyAlignment="1">
      <alignment horizontal="right"/>
    </xf>
    <xf numFmtId="0" fontId="7" fillId="6" borderId="20" xfId="0" applyFont="1" applyFill="1" applyBorder="1" applyAlignment="1">
      <alignment horizontal="left"/>
    </xf>
    <xf numFmtId="0" fontId="7" fillId="6" borderId="56" xfId="0" applyFont="1" applyFill="1" applyBorder="1" applyAlignment="1">
      <alignment horizontal="left"/>
    </xf>
    <xf numFmtId="0" fontId="7" fillId="6" borderId="21" xfId="0" applyFont="1" applyFill="1" applyBorder="1" applyAlignment="1">
      <alignment horizontal="left"/>
    </xf>
    <xf numFmtId="0" fontId="7" fillId="0" borderId="20" xfId="0" applyFont="1" applyFill="1" applyBorder="1" applyAlignment="1">
      <alignment horizontal="right"/>
    </xf>
    <xf numFmtId="0" fontId="7" fillId="0" borderId="14" xfId="0" applyFont="1" applyFill="1" applyBorder="1" applyAlignment="1">
      <alignment horizontal="left"/>
    </xf>
    <xf numFmtId="4" fontId="7" fillId="0" borderId="30" xfId="0" applyNumberFormat="1" applyFont="1" applyFill="1" applyBorder="1" applyAlignment="1"/>
    <xf numFmtId="0" fontId="7" fillId="0" borderId="13" xfId="0" applyFont="1" applyBorder="1" applyAlignment="1">
      <alignment horizontal="center" vertical="center"/>
    </xf>
    <xf numFmtId="0" fontId="7" fillId="0" borderId="73" xfId="0" applyFont="1" applyFill="1" applyBorder="1" applyAlignment="1">
      <alignment horizontal="left"/>
    </xf>
    <xf numFmtId="0" fontId="7" fillId="0" borderId="72" xfId="0" applyFont="1" applyFill="1" applyBorder="1" applyAlignment="1">
      <alignment horizontal="left"/>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Fill="1" applyBorder="1" applyAlignment="1">
      <alignment horizontal="center" vertical="center"/>
    </xf>
    <xf numFmtId="0" fontId="7" fillId="0" borderId="13" xfId="0" applyFont="1" applyFill="1" applyBorder="1" applyAlignment="1">
      <alignment horizontal="center" vertical="center"/>
    </xf>
    <xf numFmtId="4" fontId="0" fillId="0" borderId="0" xfId="0" applyNumberFormat="1" applyBorder="1"/>
    <xf numFmtId="4" fontId="18" fillId="0" borderId="0" xfId="0" applyNumberFormat="1" applyFont="1" applyBorder="1" applyAlignment="1">
      <alignment vertical="center"/>
    </xf>
    <xf numFmtId="4" fontId="7" fillId="6" borderId="20" xfId="0" applyNumberFormat="1" applyFont="1" applyFill="1" applyBorder="1" applyAlignment="1">
      <alignment horizontal="right"/>
    </xf>
    <xf numFmtId="0" fontId="27" fillId="0" borderId="0" xfId="4"/>
    <xf numFmtId="0" fontId="31" fillId="0" borderId="49" xfId="4" applyFont="1" applyBorder="1" applyAlignment="1">
      <alignment horizontal="center" vertical="center" wrapText="1"/>
    </xf>
    <xf numFmtId="0" fontId="31" fillId="0" borderId="56" xfId="4" applyFont="1" applyBorder="1" applyAlignment="1">
      <alignment wrapText="1"/>
    </xf>
    <xf numFmtId="0" fontId="31" fillId="0" borderId="56"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57" xfId="4" applyFont="1" applyBorder="1"/>
    <xf numFmtId="167" fontId="31" fillId="0" borderId="0" xfId="4" applyNumberFormat="1" applyFont="1" applyBorder="1"/>
    <xf numFmtId="3" fontId="31" fillId="0" borderId="57" xfId="4" applyNumberFormat="1" applyFont="1" applyBorder="1"/>
    <xf numFmtId="3" fontId="31" fillId="0" borderId="30" xfId="4" applyNumberFormat="1" applyFont="1" applyBorder="1"/>
    <xf numFmtId="4" fontId="27" fillId="0" borderId="0" xfId="4" applyNumberFormat="1"/>
    <xf numFmtId="0" fontId="31" fillId="0" borderId="49" xfId="4" applyFont="1" applyBorder="1"/>
    <xf numFmtId="10" fontId="31" fillId="0" borderId="49" xfId="4" applyNumberFormat="1" applyFont="1" applyBorder="1" applyAlignment="1">
      <alignment horizontal="right"/>
    </xf>
    <xf numFmtId="3" fontId="32" fillId="0" borderId="49" xfId="4" applyNumberFormat="1" applyFont="1" applyBorder="1"/>
    <xf numFmtId="0" fontId="31" fillId="0" borderId="0" xfId="4" applyFont="1"/>
    <xf numFmtId="0" fontId="31" fillId="0" borderId="0" xfId="4" applyFont="1" applyFill="1" applyBorder="1"/>
    <xf numFmtId="4" fontId="31" fillId="0" borderId="49" xfId="4" applyNumberFormat="1" applyFont="1" applyBorder="1" applyAlignment="1">
      <alignment horizontal="right"/>
    </xf>
    <xf numFmtId="10" fontId="31" fillId="0" borderId="55" xfId="4" applyNumberFormat="1" applyFont="1" applyBorder="1" applyAlignment="1">
      <alignment horizontal="right"/>
    </xf>
    <xf numFmtId="10" fontId="31" fillId="0" borderId="57" xfId="4" applyNumberFormat="1" applyFont="1" applyBorder="1" applyAlignment="1">
      <alignment horizontal="right"/>
    </xf>
    <xf numFmtId="10" fontId="31" fillId="0" borderId="59" xfId="4" applyNumberFormat="1" applyFont="1" applyBorder="1" applyAlignment="1">
      <alignment horizontal="right"/>
    </xf>
    <xf numFmtId="10" fontId="31" fillId="7" borderId="57" xfId="4" applyNumberFormat="1" applyFont="1" applyFill="1" applyBorder="1" applyAlignment="1">
      <alignment horizontal="right"/>
    </xf>
    <xf numFmtId="4" fontId="31" fillId="0" borderId="0" xfId="4" applyNumberFormat="1" applyFont="1"/>
    <xf numFmtId="0" fontId="31" fillId="0" borderId="10" xfId="4" applyFont="1" applyBorder="1"/>
    <xf numFmtId="4" fontId="31" fillId="0" borderId="10" xfId="4" applyNumberFormat="1" applyFont="1" applyBorder="1"/>
    <xf numFmtId="0" fontId="31" fillId="0" borderId="4" xfId="4" applyFont="1" applyBorder="1"/>
    <xf numFmtId="4" fontId="31" fillId="0" borderId="4" xfId="4" applyNumberFormat="1" applyFont="1" applyBorder="1"/>
    <xf numFmtId="10" fontId="31" fillId="0" borderId="0" xfId="4" applyNumberFormat="1" applyFont="1" applyBorder="1"/>
    <xf numFmtId="10" fontId="31" fillId="0" borderId="49" xfId="4" applyNumberFormat="1" applyFont="1" applyBorder="1"/>
    <xf numFmtId="0" fontId="31" fillId="8" borderId="49" xfId="4" applyFont="1" applyFill="1" applyBorder="1" applyAlignment="1">
      <alignment horizontal="center" vertical="center" wrapText="1"/>
    </xf>
    <xf numFmtId="0" fontId="31" fillId="8" borderId="56" xfId="4" applyFont="1" applyFill="1" applyBorder="1" applyAlignment="1">
      <alignment wrapText="1"/>
    </xf>
    <xf numFmtId="0" fontId="31" fillId="8" borderId="56" xfId="4" applyFont="1" applyFill="1" applyBorder="1" applyAlignment="1">
      <alignment horizontal="center" vertical="center" wrapText="1"/>
    </xf>
    <xf numFmtId="0" fontId="31" fillId="8" borderId="21" xfId="4" applyFont="1" applyFill="1" applyBorder="1" applyAlignment="1">
      <alignment horizontal="center" vertical="center" wrapText="1"/>
    </xf>
    <xf numFmtId="167" fontId="31" fillId="0" borderId="55" xfId="4" applyNumberFormat="1" applyFont="1" applyBorder="1" applyAlignment="1">
      <alignment horizontal="right"/>
    </xf>
    <xf numFmtId="4" fontId="31" fillId="0" borderId="57" xfId="4" applyNumberFormat="1" applyFont="1" applyBorder="1"/>
    <xf numFmtId="4" fontId="31" fillId="0" borderId="0" xfId="4" applyNumberFormat="1" applyFont="1" applyBorder="1"/>
    <xf numFmtId="4" fontId="31" fillId="0" borderId="55" xfId="4" applyNumberFormat="1" applyFont="1" applyBorder="1"/>
    <xf numFmtId="4" fontId="31" fillId="0" borderId="30" xfId="4" applyNumberFormat="1" applyFont="1" applyBorder="1"/>
    <xf numFmtId="167" fontId="31" fillId="0" borderId="57" xfId="4" applyNumberFormat="1" applyFont="1" applyBorder="1" applyAlignment="1">
      <alignment horizontal="right"/>
    </xf>
    <xf numFmtId="167" fontId="31" fillId="0" borderId="59" xfId="4" applyNumberFormat="1" applyFont="1" applyBorder="1" applyAlignment="1">
      <alignment horizontal="right"/>
    </xf>
    <xf numFmtId="4" fontId="31" fillId="0" borderId="59" xfId="4" applyNumberFormat="1" applyFont="1" applyBorder="1"/>
    <xf numFmtId="167" fontId="31" fillId="0" borderId="49" xfId="4" applyNumberFormat="1" applyFont="1" applyBorder="1" applyAlignment="1">
      <alignment horizontal="right"/>
    </xf>
    <xf numFmtId="4" fontId="32" fillId="0" borderId="49" xfId="4" applyNumberFormat="1" applyFont="1" applyBorder="1"/>
    <xf numFmtId="4" fontId="29" fillId="8" borderId="4" xfId="4" applyNumberFormat="1" applyFont="1" applyFill="1" applyBorder="1"/>
    <xf numFmtId="167" fontId="42" fillId="0" borderId="4" xfId="4" applyNumberFormat="1" applyFont="1" applyBorder="1" applyAlignment="1">
      <alignment horizontal="right" vertical="center"/>
    </xf>
    <xf numFmtId="4" fontId="30" fillId="0" borderId="4" xfId="4" applyNumberFormat="1" applyFont="1" applyBorder="1"/>
    <xf numFmtId="3" fontId="31" fillId="0" borderId="49" xfId="4" applyNumberFormat="1" applyFont="1" applyBorder="1"/>
    <xf numFmtId="0" fontId="42" fillId="0" borderId="0" xfId="4" applyFont="1"/>
    <xf numFmtId="9" fontId="42" fillId="0" borderId="0" xfId="4" applyNumberFormat="1" applyFont="1"/>
    <xf numFmtId="0" fontId="31" fillId="0" borderId="56" xfId="4" applyFont="1" applyBorder="1" applyAlignment="1">
      <alignment horizontal="center" wrapText="1"/>
    </xf>
    <xf numFmtId="9" fontId="27" fillId="0" borderId="0" xfId="4" applyNumberFormat="1"/>
    <xf numFmtId="167" fontId="31" fillId="0" borderId="49" xfId="4" applyNumberFormat="1" applyFont="1" applyBorder="1"/>
    <xf numFmtId="0" fontId="29" fillId="0" borderId="13" xfId="4" applyFont="1" applyBorder="1"/>
    <xf numFmtId="0" fontId="29" fillId="0" borderId="14" xfId="4" applyFont="1" applyBorder="1"/>
    <xf numFmtId="4" fontId="32" fillId="0" borderId="58" xfId="4" applyNumberFormat="1" applyFont="1" applyBorder="1"/>
    <xf numFmtId="0" fontId="29" fillId="0" borderId="23" xfId="4" applyFont="1" applyBorder="1"/>
    <xf numFmtId="0" fontId="29" fillId="0" borderId="0" xfId="4" applyFont="1" applyBorder="1"/>
    <xf numFmtId="4" fontId="32" fillId="0" borderId="0" xfId="4" applyNumberFormat="1" applyFont="1" applyBorder="1"/>
    <xf numFmtId="4" fontId="32" fillId="0" borderId="30" xfId="4" applyNumberFormat="1" applyFont="1" applyBorder="1"/>
    <xf numFmtId="0" fontId="29" fillId="0" borderId="31" xfId="4" applyFont="1" applyBorder="1"/>
    <xf numFmtId="0" fontId="29" fillId="0" borderId="22" xfId="4" applyFont="1" applyBorder="1"/>
    <xf numFmtId="4" fontId="32" fillId="0" borderId="22" xfId="4" applyNumberFormat="1" applyFont="1" applyBorder="1"/>
    <xf numFmtId="4" fontId="32" fillId="0" borderId="40" xfId="4" applyNumberFormat="1" applyFont="1" applyBorder="1"/>
    <xf numFmtId="0" fontId="6" fillId="0" borderId="0" xfId="0" applyFont="1" applyFill="1" applyBorder="1"/>
    <xf numFmtId="49" fontId="2" fillId="0" borderId="0" xfId="0" applyNumberFormat="1" applyFont="1" applyFill="1" applyBorder="1" applyAlignment="1">
      <alignment horizontal="right"/>
    </xf>
    <xf numFmtId="49" fontId="6" fillId="0" borderId="0" xfId="0" applyNumberFormat="1" applyFont="1" applyFill="1" applyBorder="1" applyAlignment="1">
      <alignment horizontal="right"/>
    </xf>
    <xf numFmtId="49" fontId="2" fillId="0" borderId="0" xfId="0" applyNumberFormat="1" applyFont="1" applyFill="1" applyBorder="1"/>
    <xf numFmtId="0" fontId="38" fillId="0" borderId="0" xfId="0" applyFont="1"/>
    <xf numFmtId="0" fontId="11" fillId="0" borderId="0" xfId="0" applyFont="1" applyFill="1" applyBorder="1" applyAlignment="1">
      <alignment horizontal="left"/>
    </xf>
    <xf numFmtId="170" fontId="7" fillId="0" borderId="0" xfId="0" applyNumberFormat="1" applyFont="1" applyFill="1"/>
    <xf numFmtId="4" fontId="8" fillId="0" borderId="0" xfId="0" applyNumberFormat="1" applyFont="1"/>
    <xf numFmtId="4" fontId="8" fillId="0" borderId="0" xfId="0" applyNumberFormat="1" applyFont="1" applyFill="1"/>
    <xf numFmtId="0" fontId="38" fillId="0" borderId="0" xfId="0" applyFont="1" applyFill="1"/>
    <xf numFmtId="0" fontId="10" fillId="0" borderId="5" xfId="0" applyFont="1" applyBorder="1" applyAlignment="1">
      <alignment horizontal="center"/>
    </xf>
    <xf numFmtId="0" fontId="10" fillId="0" borderId="5" xfId="0" applyFont="1" applyBorder="1" applyAlignment="1">
      <alignment horizontal="center" vertical="center"/>
    </xf>
    <xf numFmtId="0" fontId="10" fillId="0" borderId="8" xfId="0" applyFont="1" applyBorder="1" applyAlignment="1">
      <alignment horizontal="center"/>
    </xf>
    <xf numFmtId="0" fontId="10" fillId="0" borderId="8" xfId="0" applyFont="1" applyBorder="1" applyAlignment="1">
      <alignment horizontal="center" vertical="center"/>
    </xf>
    <xf numFmtId="49" fontId="10" fillId="0" borderId="8" xfId="0" applyNumberFormat="1" applyFont="1" applyBorder="1" applyAlignment="1">
      <alignment horizontal="center"/>
    </xf>
    <xf numFmtId="49" fontId="10" fillId="0" borderId="10" xfId="0" applyNumberFormat="1" applyFont="1" applyBorder="1" applyAlignment="1">
      <alignment horizontal="center"/>
    </xf>
    <xf numFmtId="0" fontId="38" fillId="0" borderId="26" xfId="0" applyFont="1" applyBorder="1"/>
    <xf numFmtId="164" fontId="38" fillId="0" borderId="6" xfId="1" applyNumberFormat="1" applyFont="1" applyBorder="1" applyAlignment="1">
      <alignment horizontal="center"/>
    </xf>
    <xf numFmtId="4" fontId="38" fillId="0" borderId="6" xfId="0" applyNumberFormat="1" applyFont="1" applyBorder="1"/>
    <xf numFmtId="4" fontId="38" fillId="0" borderId="0" xfId="0" applyNumberFormat="1" applyFont="1"/>
    <xf numFmtId="4" fontId="43" fillId="0" borderId="0" xfId="0" applyNumberFormat="1" applyFont="1"/>
    <xf numFmtId="0" fontId="38" fillId="0" borderId="69" xfId="0" applyFont="1" applyBorder="1"/>
    <xf numFmtId="164" fontId="38" fillId="0" borderId="0" xfId="1" applyNumberFormat="1" applyFont="1" applyBorder="1" applyAlignment="1">
      <alignment horizontal="center"/>
    </xf>
    <xf numFmtId="4" fontId="38" fillId="0" borderId="0" xfId="0" applyNumberFormat="1" applyFont="1" applyBorder="1"/>
    <xf numFmtId="0" fontId="10" fillId="0" borderId="4" xfId="0" applyFont="1" applyBorder="1"/>
    <xf numFmtId="164" fontId="10" fillId="0" borderId="4" xfId="1" applyNumberFormat="1" applyFont="1" applyBorder="1" applyAlignment="1">
      <alignment horizontal="center"/>
    </xf>
    <xf numFmtId="4" fontId="10" fillId="0" borderId="4" xfId="0" applyNumberFormat="1" applyFont="1" applyBorder="1"/>
    <xf numFmtId="2" fontId="10" fillId="0" borderId="4" xfId="0" applyNumberFormat="1" applyFont="1" applyBorder="1"/>
    <xf numFmtId="0" fontId="29" fillId="0" borderId="0" xfId="4" applyFont="1" applyAlignment="1"/>
    <xf numFmtId="0" fontId="27" fillId="0" borderId="0" xfId="4" applyFont="1" applyAlignment="1">
      <alignment horizontal="center"/>
    </xf>
    <xf numFmtId="0" fontId="27" fillId="0" borderId="0" xfId="4" applyFill="1" applyAlignment="1">
      <alignment horizontal="center"/>
    </xf>
    <xf numFmtId="0" fontId="27" fillId="0" borderId="49" xfId="4" applyBorder="1" applyAlignment="1">
      <alignment horizontal="center"/>
    </xf>
    <xf numFmtId="0" fontId="27" fillId="0" borderId="49" xfId="4" applyFill="1" applyBorder="1" applyAlignment="1">
      <alignment horizontal="center"/>
    </xf>
    <xf numFmtId="4" fontId="27" fillId="0" borderId="49" xfId="4" applyNumberFormat="1" applyBorder="1"/>
    <xf numFmtId="4" fontId="12" fillId="0" borderId="49" xfId="5" applyNumberFormat="1" applyFont="1" applyFill="1" applyBorder="1" applyAlignment="1">
      <alignment horizontal="right" vertical="center"/>
    </xf>
    <xf numFmtId="4" fontId="27" fillId="5" borderId="0" xfId="4" applyNumberFormat="1" applyFill="1"/>
    <xf numFmtId="3" fontId="12" fillId="0" borderId="0" xfId="5" applyNumberFormat="1" applyFont="1" applyFill="1" applyBorder="1" applyAlignment="1">
      <alignment horizontal="right" vertical="center"/>
    </xf>
    <xf numFmtId="3" fontId="12" fillId="0" borderId="59" xfId="5" applyNumberFormat="1" applyFont="1" applyFill="1" applyBorder="1" applyAlignment="1">
      <alignment horizontal="right" vertical="center"/>
    </xf>
    <xf numFmtId="3" fontId="12" fillId="0" borderId="31" xfId="5" applyNumberFormat="1" applyFont="1" applyFill="1" applyBorder="1" applyAlignment="1">
      <alignment horizontal="right" vertical="center"/>
    </xf>
    <xf numFmtId="10" fontId="27" fillId="0" borderId="49" xfId="4" applyNumberFormat="1" applyBorder="1"/>
    <xf numFmtId="10" fontId="27" fillId="0" borderId="0" xfId="4" applyNumberFormat="1" applyFill="1"/>
    <xf numFmtId="10" fontId="27" fillId="0" borderId="59" xfId="4" applyNumberFormat="1" applyFill="1" applyBorder="1"/>
    <xf numFmtId="4" fontId="27" fillId="0" borderId="49" xfId="4" applyNumberFormat="1" applyFill="1" applyBorder="1"/>
    <xf numFmtId="4" fontId="27" fillId="0" borderId="0" xfId="4" applyNumberFormat="1" applyBorder="1"/>
    <xf numFmtId="4" fontId="27" fillId="0" borderId="0" xfId="4" applyNumberFormat="1" applyFill="1" applyBorder="1"/>
    <xf numFmtId="0" fontId="27" fillId="0" borderId="49" xfId="4" applyFont="1" applyBorder="1"/>
    <xf numFmtId="4" fontId="27" fillId="0" borderId="0" xfId="4" applyNumberFormat="1" applyFill="1"/>
    <xf numFmtId="0" fontId="27" fillId="0" borderId="22" xfId="4" applyBorder="1" applyAlignment="1"/>
    <xf numFmtId="0" fontId="27" fillId="0" borderId="22" xfId="4" applyFill="1" applyBorder="1" applyAlignment="1"/>
    <xf numFmtId="3" fontId="12" fillId="0" borderId="49" xfId="5" applyNumberFormat="1" applyFont="1" applyFill="1" applyBorder="1" applyAlignment="1">
      <alignment horizontal="right" vertical="center"/>
    </xf>
    <xf numFmtId="3" fontId="27" fillId="0" borderId="0" xfId="4" applyNumberFormat="1" applyFill="1" applyBorder="1"/>
    <xf numFmtId="9" fontId="27" fillId="0" borderId="0" xfId="4" applyNumberFormat="1" applyFont="1" applyBorder="1"/>
    <xf numFmtId="3" fontId="27" fillId="0" borderId="0" xfId="4" applyNumberFormat="1"/>
    <xf numFmtId="3" fontId="27" fillId="0" borderId="0" xfId="4" applyNumberFormat="1" applyBorder="1"/>
    <xf numFmtId="10" fontId="27" fillId="0" borderId="49" xfId="4" applyNumberFormat="1" applyFill="1" applyBorder="1"/>
    <xf numFmtId="4" fontId="22" fillId="0" borderId="49" xfId="4" applyNumberFormat="1" applyFont="1" applyFill="1" applyBorder="1" applyAlignment="1">
      <alignment horizontal="right"/>
    </xf>
    <xf numFmtId="0" fontId="27" fillId="0" borderId="0" xfId="4" applyFont="1" applyBorder="1"/>
    <xf numFmtId="0" fontId="27" fillId="0" borderId="0" xfId="4" applyFill="1"/>
    <xf numFmtId="3" fontId="12" fillId="0" borderId="0" xfId="5" applyNumberFormat="1" applyFont="1" applyFill="1" applyAlignment="1">
      <alignment horizontal="right" vertical="center"/>
    </xf>
    <xf numFmtId="4" fontId="22" fillId="0" borderId="0" xfId="4" applyNumberFormat="1" applyFont="1" applyFill="1" applyAlignment="1">
      <alignment horizontal="right"/>
    </xf>
    <xf numFmtId="0" fontId="27" fillId="0" borderId="0" xfId="4" applyFont="1" applyFill="1" applyAlignment="1">
      <alignment horizontal="center"/>
    </xf>
    <xf numFmtId="0" fontId="27" fillId="0" borderId="0" xfId="4" applyBorder="1" applyAlignment="1"/>
    <xf numFmtId="3" fontId="27" fillId="0" borderId="22" xfId="4" applyNumberFormat="1" applyBorder="1" applyAlignment="1"/>
    <xf numFmtId="167" fontId="27" fillId="0" borderId="22" xfId="4" applyNumberFormat="1" applyFill="1" applyBorder="1" applyAlignment="1"/>
    <xf numFmtId="10" fontId="27" fillId="0" borderId="0" xfId="4" applyNumberFormat="1"/>
    <xf numFmtId="4" fontId="27" fillId="0" borderId="20" xfId="4" applyNumberFormat="1" applyFill="1" applyBorder="1"/>
    <xf numFmtId="4" fontId="27" fillId="5" borderId="49" xfId="4" applyNumberFormat="1" applyFill="1" applyBorder="1"/>
    <xf numFmtId="4" fontId="27" fillId="0" borderId="49" xfId="4" applyNumberFormat="1" applyFont="1" applyFill="1" applyBorder="1"/>
    <xf numFmtId="4" fontId="27" fillId="0" borderId="49" xfId="4" applyNumberFormat="1" applyFont="1" applyBorder="1"/>
    <xf numFmtId="0" fontId="29" fillId="0" borderId="0" xfId="4" applyFont="1" applyFill="1"/>
    <xf numFmtId="4" fontId="29" fillId="0" borderId="49" xfId="4" applyNumberFormat="1" applyFont="1" applyBorder="1"/>
    <xf numFmtId="4" fontId="29" fillId="0" borderId="49" xfId="4" applyNumberFormat="1" applyFont="1" applyFill="1" applyBorder="1"/>
    <xf numFmtId="4" fontId="27" fillId="0" borderId="14" xfId="4" applyNumberFormat="1" applyFill="1" applyBorder="1"/>
    <xf numFmtId="4" fontId="27" fillId="0" borderId="22" xfId="4" applyNumberFormat="1" applyFill="1" applyBorder="1"/>
    <xf numFmtId="3" fontId="27" fillId="0" borderId="0" xfId="4" applyNumberFormat="1" applyFill="1"/>
    <xf numFmtId="0" fontId="29" fillId="0" borderId="20" xfId="4" applyFont="1" applyFill="1" applyBorder="1"/>
    <xf numFmtId="0" fontId="29" fillId="0" borderId="21" xfId="4" applyFont="1" applyFill="1" applyBorder="1"/>
    <xf numFmtId="4" fontId="29" fillId="12" borderId="49" xfId="4" applyNumberFormat="1" applyFont="1" applyFill="1" applyBorder="1"/>
    <xf numFmtId="0" fontId="29" fillId="0" borderId="0" xfId="4" applyFont="1"/>
    <xf numFmtId="3" fontId="27" fillId="0" borderId="0" xfId="2" applyNumberFormat="1"/>
    <xf numFmtId="4" fontId="27" fillId="0" borderId="0" xfId="2" applyNumberFormat="1"/>
    <xf numFmtId="0" fontId="32" fillId="8" borderId="4" xfId="4" applyFont="1" applyFill="1" applyBorder="1"/>
    <xf numFmtId="0" fontId="32" fillId="8" borderId="1" xfId="4" applyFont="1" applyFill="1" applyBorder="1"/>
    <xf numFmtId="0" fontId="32" fillId="8" borderId="3" xfId="4" applyFont="1" applyFill="1" applyBorder="1"/>
    <xf numFmtId="4" fontId="45" fillId="0" borderId="0" xfId="4" applyNumberFormat="1" applyFont="1"/>
    <xf numFmtId="0" fontId="31" fillId="0" borderId="56" xfId="2" applyFont="1" applyFill="1" applyBorder="1" applyAlignment="1">
      <alignment horizontal="center" wrapText="1"/>
    </xf>
    <xf numFmtId="3" fontId="7" fillId="0" borderId="36" xfId="0" applyNumberFormat="1" applyFont="1" applyBorder="1"/>
    <xf numFmtId="3" fontId="7" fillId="0" borderId="75" xfId="0" applyNumberFormat="1" applyFont="1" applyFill="1" applyBorder="1"/>
    <xf numFmtId="3" fontId="7" fillId="0" borderId="76" xfId="0" applyNumberFormat="1" applyFont="1" applyFill="1" applyBorder="1"/>
    <xf numFmtId="3" fontId="7" fillId="0" borderId="47" xfId="0" applyNumberFormat="1" applyFont="1" applyFill="1" applyBorder="1"/>
    <xf numFmtId="3" fontId="7" fillId="0" borderId="32" xfId="0" applyNumberFormat="1" applyFont="1" applyFill="1" applyBorder="1"/>
    <xf numFmtId="3" fontId="7" fillId="0" borderId="64" xfId="0" applyNumberFormat="1" applyFont="1" applyFill="1" applyBorder="1"/>
    <xf numFmtId="3" fontId="7" fillId="4" borderId="1" xfId="0" applyNumberFormat="1" applyFont="1" applyFill="1" applyBorder="1"/>
    <xf numFmtId="3" fontId="7" fillId="0" borderId="74" xfId="0" applyNumberFormat="1" applyFont="1" applyFill="1" applyBorder="1"/>
    <xf numFmtId="3" fontId="7" fillId="0" borderId="46" xfId="0" applyNumberFormat="1" applyFont="1" applyFill="1" applyBorder="1"/>
    <xf numFmtId="3" fontId="7" fillId="0" borderId="63" xfId="0" applyNumberFormat="1" applyFont="1" applyFill="1" applyBorder="1"/>
    <xf numFmtId="3" fontId="8" fillId="0" borderId="1" xfId="0" applyNumberFormat="1" applyFont="1" applyBorder="1"/>
    <xf numFmtId="3" fontId="8" fillId="0" borderId="49" xfId="0" applyNumberFormat="1" applyFont="1" applyBorder="1"/>
    <xf numFmtId="3" fontId="24" fillId="0" borderId="49" xfId="0" applyNumberFormat="1" applyFont="1" applyBorder="1"/>
    <xf numFmtId="0" fontId="7" fillId="0" borderId="5" xfId="0" applyFont="1" applyBorder="1"/>
    <xf numFmtId="168" fontId="7" fillId="0" borderId="5" xfId="1" applyNumberFormat="1" applyFont="1" applyBorder="1"/>
    <xf numFmtId="171" fontId="7" fillId="0" borderId="5" xfId="1" applyNumberFormat="1" applyFont="1" applyBorder="1"/>
    <xf numFmtId="167" fontId="7" fillId="0" borderId="5" xfId="0" applyNumberFormat="1" applyFont="1" applyBorder="1" applyAlignment="1">
      <alignment horizontal="center"/>
    </xf>
    <xf numFmtId="3" fontId="7" fillId="0" borderId="5" xfId="0" applyNumberFormat="1" applyFont="1" applyBorder="1" applyAlignment="1">
      <alignment horizontal="right"/>
    </xf>
    <xf numFmtId="0" fontId="7" fillId="0" borderId="8" xfId="0" applyFont="1" applyBorder="1"/>
    <xf numFmtId="168" fontId="7" fillId="0" borderId="8" xfId="1" applyNumberFormat="1" applyFont="1" applyBorder="1"/>
    <xf numFmtId="171" fontId="7" fillId="0" borderId="8" xfId="1" applyNumberFormat="1" applyFont="1" applyBorder="1"/>
    <xf numFmtId="167" fontId="7" fillId="0" borderId="8" xfId="0" applyNumberFormat="1" applyFont="1" applyBorder="1" applyAlignment="1">
      <alignment horizontal="center"/>
    </xf>
    <xf numFmtId="0" fontId="7" fillId="0" borderId="10" xfId="0" applyFont="1" applyBorder="1"/>
    <xf numFmtId="168" fontId="7" fillId="0" borderId="10" xfId="1" applyNumberFormat="1" applyFont="1" applyBorder="1"/>
    <xf numFmtId="171" fontId="7" fillId="0" borderId="10" xfId="1" applyNumberFormat="1" applyFont="1" applyBorder="1"/>
    <xf numFmtId="167" fontId="7" fillId="0" borderId="10" xfId="0" applyNumberFormat="1" applyFont="1" applyBorder="1" applyAlignment="1">
      <alignment horizontal="center"/>
    </xf>
    <xf numFmtId="3" fontId="7" fillId="0" borderId="10" xfId="0" applyNumberFormat="1" applyFont="1" applyBorder="1" applyAlignment="1">
      <alignment horizontal="right"/>
    </xf>
    <xf numFmtId="0" fontId="8" fillId="0" borderId="0" xfId="0" applyFont="1" applyAlignment="1">
      <alignment horizontal="center"/>
    </xf>
    <xf numFmtId="0" fontId="7" fillId="0" borderId="23" xfId="0" applyFont="1" applyFill="1" applyBorder="1" applyAlignment="1">
      <alignment horizontal="left"/>
    </xf>
    <xf numFmtId="0" fontId="7" fillId="0" borderId="0" xfId="0" applyFont="1" applyFill="1" applyBorder="1" applyAlignment="1">
      <alignment horizontal="left"/>
    </xf>
    <xf numFmtId="0" fontId="7" fillId="0" borderId="30" xfId="0" applyFont="1" applyFill="1" applyBorder="1" applyAlignment="1">
      <alignment horizontal="left"/>
    </xf>
    <xf numFmtId="4" fontId="7" fillId="0" borderId="0" xfId="0" applyNumberFormat="1" applyFont="1" applyFill="1" applyBorder="1" applyAlignment="1">
      <alignment horizontal="right"/>
    </xf>
    <xf numFmtId="0" fontId="8" fillId="0" borderId="0" xfId="0" applyFont="1" applyFill="1" applyBorder="1" applyAlignment="1">
      <alignment horizontal="left"/>
    </xf>
    <xf numFmtId="0" fontId="7" fillId="0" borderId="23" xfId="0" applyFont="1" applyFill="1" applyBorder="1" applyAlignment="1">
      <alignment horizontal="right"/>
    </xf>
    <xf numFmtId="0" fontId="7" fillId="0" borderId="0" xfId="0" applyFont="1" applyFill="1" applyBorder="1" applyAlignment="1">
      <alignment horizontal="right"/>
    </xf>
    <xf numFmtId="1" fontId="10" fillId="0" borderId="23" xfId="0" applyNumberFormat="1" applyFont="1" applyFill="1" applyBorder="1" applyAlignment="1">
      <alignment horizontal="center"/>
    </xf>
    <xf numFmtId="1" fontId="10" fillId="0" borderId="57" xfId="0" applyNumberFormat="1" applyFont="1" applyFill="1" applyBorder="1" applyAlignment="1">
      <alignment horizontal="center"/>
    </xf>
    <xf numFmtId="49" fontId="10" fillId="0" borderId="31" xfId="0" applyNumberFormat="1" applyFont="1" applyFill="1" applyBorder="1" applyAlignment="1">
      <alignment horizontal="center"/>
    </xf>
    <xf numFmtId="49" fontId="10" fillId="0" borderId="59" xfId="0" applyNumberFormat="1" applyFont="1" applyFill="1" applyBorder="1" applyAlignment="1">
      <alignment horizontal="center"/>
    </xf>
    <xf numFmtId="49" fontId="10" fillId="0" borderId="59" xfId="0" applyNumberFormat="1" applyFont="1" applyBorder="1" applyAlignment="1">
      <alignment horizontal="center" vertical="center" wrapText="1"/>
    </xf>
    <xf numFmtId="49" fontId="16" fillId="0" borderId="22" xfId="0" applyNumberFormat="1" applyFont="1" applyFill="1" applyBorder="1" applyAlignment="1">
      <alignment horizontal="center" vertical="center" wrapText="1"/>
    </xf>
    <xf numFmtId="0" fontId="10" fillId="0" borderId="59" xfId="0" applyFont="1" applyBorder="1" applyAlignment="1">
      <alignment horizontal="center" vertical="center" wrapText="1"/>
    </xf>
    <xf numFmtId="0" fontId="1" fillId="0" borderId="60" xfId="0" applyFont="1" applyFill="1" applyBorder="1"/>
    <xf numFmtId="3" fontId="1" fillId="0" borderId="43" xfId="0" applyNumberFormat="1" applyFont="1" applyFill="1" applyBorder="1"/>
    <xf numFmtId="166" fontId="1" fillId="0" borderId="10" xfId="0" applyNumberFormat="1" applyFont="1" applyFill="1" applyBorder="1"/>
    <xf numFmtId="167" fontId="1" fillId="0" borderId="10" xfId="0" applyNumberFormat="1" applyFont="1" applyFill="1" applyBorder="1"/>
    <xf numFmtId="165" fontId="1" fillId="0" borderId="44" xfId="0" applyNumberFormat="1" applyFont="1" applyFill="1" applyBorder="1" applyAlignment="1">
      <alignment horizontal="right"/>
    </xf>
    <xf numFmtId="165" fontId="1" fillId="0" borderId="43" xfId="0" applyNumberFormat="1" applyFont="1" applyFill="1" applyBorder="1" applyAlignment="1">
      <alignment horizontal="right"/>
    </xf>
    <xf numFmtId="165" fontId="1" fillId="0" borderId="10" xfId="0" applyNumberFormat="1" applyFont="1" applyFill="1" applyBorder="1" applyAlignment="1">
      <alignment horizontal="right"/>
    </xf>
    <xf numFmtId="3" fontId="1" fillId="0" borderId="44" xfId="0" applyNumberFormat="1" applyFont="1" applyFill="1" applyBorder="1"/>
    <xf numFmtId="165" fontId="1" fillId="0" borderId="12" xfId="0" applyNumberFormat="1" applyFont="1" applyFill="1" applyBorder="1"/>
    <xf numFmtId="3" fontId="1" fillId="0" borderId="42" xfId="0" applyNumberFormat="1" applyFont="1" applyFill="1" applyBorder="1"/>
    <xf numFmtId="165" fontId="1" fillId="0" borderId="61" xfId="0" applyNumberFormat="1" applyFont="1" applyFill="1" applyBorder="1"/>
    <xf numFmtId="166" fontId="1" fillId="0" borderId="4" xfId="0" applyNumberFormat="1" applyFont="1" applyFill="1" applyBorder="1"/>
    <xf numFmtId="165" fontId="1" fillId="0" borderId="3" xfId="0" applyNumberFormat="1" applyFont="1" applyFill="1" applyBorder="1"/>
    <xf numFmtId="0" fontId="1" fillId="0" borderId="62" xfId="0" applyFont="1" applyFill="1" applyBorder="1"/>
    <xf numFmtId="166" fontId="1" fillId="0" borderId="36" xfId="0" applyNumberFormat="1" applyFont="1" applyFill="1" applyBorder="1"/>
    <xf numFmtId="167" fontId="1" fillId="0" borderId="36" xfId="0" applyNumberFormat="1" applyFont="1" applyFill="1" applyBorder="1"/>
    <xf numFmtId="166" fontId="1" fillId="0" borderId="32" xfId="0" applyNumberFormat="1" applyFont="1" applyFill="1" applyBorder="1"/>
    <xf numFmtId="165" fontId="1" fillId="0" borderId="65" xfId="0" applyNumberFormat="1" applyFont="1" applyFill="1" applyBorder="1"/>
    <xf numFmtId="3" fontId="5" fillId="0" borderId="52" xfId="0" applyNumberFormat="1" applyFont="1" applyFill="1" applyBorder="1"/>
    <xf numFmtId="166" fontId="5" fillId="0" borderId="49" xfId="0" applyNumberFormat="1" applyFont="1" applyFill="1" applyBorder="1"/>
    <xf numFmtId="169" fontId="5" fillId="0" borderId="49" xfId="0" applyNumberFormat="1" applyFont="1" applyFill="1" applyBorder="1"/>
    <xf numFmtId="165" fontId="5" fillId="0" borderId="49" xfId="0" applyNumberFormat="1" applyFont="1" applyFill="1" applyBorder="1" applyAlignment="1">
      <alignment horizontal="right"/>
    </xf>
    <xf numFmtId="166" fontId="5" fillId="0" borderId="20" xfId="0" applyNumberFormat="1" applyFont="1" applyFill="1" applyBorder="1"/>
    <xf numFmtId="167" fontId="5" fillId="0" borderId="49" xfId="0" applyNumberFormat="1" applyFont="1" applyFill="1" applyBorder="1"/>
    <xf numFmtId="3" fontId="5" fillId="0" borderId="49" xfId="0" applyNumberFormat="1" applyFont="1" applyFill="1" applyBorder="1"/>
    <xf numFmtId="167" fontId="5" fillId="0" borderId="20" xfId="0" applyNumberFormat="1" applyFont="1" applyFill="1" applyBorder="1"/>
    <xf numFmtId="0" fontId="7" fillId="0" borderId="0" xfId="0" applyFont="1" applyBorder="1" applyAlignment="1">
      <alignment horizontal="left" vertical="center"/>
    </xf>
    <xf numFmtId="164" fontId="5" fillId="0" borderId="0" xfId="1" applyNumberFormat="1" applyFont="1" applyFill="1" applyBorder="1" applyAlignment="1">
      <alignment horizontal="center"/>
    </xf>
    <xf numFmtId="165" fontId="5" fillId="0" borderId="0" xfId="1" applyNumberFormat="1" applyFont="1" applyFill="1" applyBorder="1"/>
    <xf numFmtId="3" fontId="5" fillId="0" borderId="0" xfId="0" applyNumberFormat="1" applyFont="1" applyFill="1" applyBorder="1"/>
    <xf numFmtId="166" fontId="5" fillId="0" borderId="0" xfId="0" applyNumberFormat="1" applyFont="1" applyFill="1" applyBorder="1"/>
    <xf numFmtId="169" fontId="5" fillId="0" borderId="0" xfId="0" applyNumberFormat="1" applyFont="1" applyFill="1" applyBorder="1"/>
    <xf numFmtId="165" fontId="5" fillId="0" borderId="0" xfId="0" applyNumberFormat="1" applyFont="1" applyFill="1" applyBorder="1" applyAlignment="1">
      <alignment horizontal="right"/>
    </xf>
    <xf numFmtId="167" fontId="5" fillId="0" borderId="0" xfId="0" applyNumberFormat="1" applyFont="1" applyFill="1" applyBorder="1"/>
    <xf numFmtId="165" fontId="5" fillId="0" borderId="0" xfId="0" applyNumberFormat="1" applyFont="1" applyFill="1" applyBorder="1"/>
    <xf numFmtId="0" fontId="11" fillId="0" borderId="0" xfId="0" applyFont="1" applyFill="1" applyAlignment="1">
      <alignment horizontal="right" vertical="top"/>
    </xf>
    <xf numFmtId="0" fontId="8" fillId="0" borderId="0" xfId="0" applyFont="1" applyFill="1" applyBorder="1" applyAlignment="1">
      <alignment horizontal="right"/>
    </xf>
    <xf numFmtId="4" fontId="7" fillId="0" borderId="23" xfId="0" applyNumberFormat="1" applyFont="1" applyFill="1" applyBorder="1" applyAlignment="1"/>
    <xf numFmtId="4" fontId="7" fillId="5" borderId="0" xfId="0" applyNumberFormat="1" applyFont="1" applyFill="1" applyBorder="1" applyAlignment="1"/>
    <xf numFmtId="4" fontId="7" fillId="0" borderId="4" xfId="0" applyNumberFormat="1" applyFont="1" applyFill="1" applyBorder="1" applyAlignment="1">
      <alignment horizontal="right"/>
    </xf>
    <xf numFmtId="4" fontId="7" fillId="0" borderId="47" xfId="0" applyNumberFormat="1" applyFont="1" applyFill="1" applyBorder="1" applyAlignment="1">
      <alignment horizontal="right"/>
    </xf>
    <xf numFmtId="0" fontId="38" fillId="0" borderId="0" xfId="0" applyFont="1" applyFill="1" applyAlignment="1">
      <alignment vertical="center" wrapText="1"/>
    </xf>
    <xf numFmtId="0" fontId="27" fillId="0" borderId="0" xfId="4" applyFill="1" applyBorder="1" applyAlignment="1">
      <alignment horizontal="center"/>
    </xf>
    <xf numFmtId="167" fontId="42" fillId="0" borderId="55" xfId="4" applyNumberFormat="1" applyFont="1" applyBorder="1" applyAlignment="1">
      <alignment horizontal="right" vertical="center"/>
    </xf>
    <xf numFmtId="167" fontId="42" fillId="0" borderId="57" xfId="4" applyNumberFormat="1" applyFont="1" applyBorder="1" applyAlignment="1">
      <alignment horizontal="right" vertical="center"/>
    </xf>
    <xf numFmtId="167" fontId="42" fillId="0" borderId="59" xfId="4" applyNumberFormat="1" applyFont="1" applyBorder="1" applyAlignment="1">
      <alignment horizontal="right" vertical="center"/>
    </xf>
    <xf numFmtId="0" fontId="29" fillId="0" borderId="22" xfId="4" applyFont="1" applyBorder="1" applyAlignment="1"/>
    <xf numFmtId="10" fontId="31" fillId="0" borderId="57" xfId="4" applyNumberFormat="1" applyFont="1" applyFill="1" applyBorder="1" applyAlignment="1">
      <alignment horizontal="right"/>
    </xf>
    <xf numFmtId="166" fontId="31" fillId="0" borderId="0" xfId="4" applyNumberFormat="1" applyFont="1" applyBorder="1"/>
    <xf numFmtId="166" fontId="31" fillId="0" borderId="49" xfId="4" applyNumberFormat="1" applyFont="1" applyBorder="1"/>
    <xf numFmtId="0" fontId="47" fillId="14" borderId="5" xfId="0" applyFont="1" applyFill="1" applyBorder="1" applyAlignment="1">
      <alignment horizontal="center"/>
    </xf>
    <xf numFmtId="0" fontId="47" fillId="14" borderId="8" xfId="0" applyFont="1" applyFill="1" applyBorder="1" applyAlignment="1">
      <alignment horizontal="center"/>
    </xf>
    <xf numFmtId="0" fontId="47" fillId="14" borderId="10" xfId="0" applyFont="1" applyFill="1" applyBorder="1" applyAlignment="1">
      <alignment horizontal="center"/>
    </xf>
    <xf numFmtId="0" fontId="45" fillId="0" borderId="4" xfId="0" applyFont="1" applyBorder="1" applyAlignment="1">
      <alignment horizontal="center"/>
    </xf>
    <xf numFmtId="0" fontId="48" fillId="0" borderId="4" xfId="0" applyFont="1" applyBorder="1" applyAlignment="1">
      <alignment wrapText="1"/>
    </xf>
    <xf numFmtId="4" fontId="9" fillId="0" borderId="4" xfId="0" applyNumberFormat="1" applyFont="1" applyBorder="1"/>
    <xf numFmtId="173" fontId="9" fillId="0" borderId="4" xfId="0" applyNumberFormat="1" applyFont="1" applyBorder="1"/>
    <xf numFmtId="0" fontId="48" fillId="4" borderId="4" xfId="0" applyFont="1" applyFill="1" applyBorder="1" applyAlignment="1">
      <alignment wrapText="1"/>
    </xf>
    <xf numFmtId="4" fontId="9" fillId="14" borderId="4" xfId="0" applyNumberFormat="1" applyFont="1" applyFill="1" applyBorder="1"/>
    <xf numFmtId="4" fontId="49" fillId="14" borderId="4" xfId="0" applyNumberFormat="1" applyFont="1" applyFill="1" applyBorder="1"/>
    <xf numFmtId="4" fontId="9" fillId="0" borderId="8" xfId="0" applyNumberFormat="1" applyFont="1" applyFill="1" applyBorder="1"/>
    <xf numFmtId="0" fontId="27" fillId="0" borderId="0" xfId="4" applyAlignment="1">
      <alignment horizontal="center"/>
    </xf>
    <xf numFmtId="4" fontId="31" fillId="0" borderId="49" xfId="4" applyNumberFormat="1" applyFont="1" applyBorder="1"/>
    <xf numFmtId="166" fontId="27" fillId="0" borderId="0" xfId="4" applyNumberFormat="1" applyFill="1"/>
    <xf numFmtId="0" fontId="27" fillId="0" borderId="0" xfId="4" applyAlignment="1"/>
    <xf numFmtId="166" fontId="27" fillId="0" borderId="0" xfId="4" applyNumberFormat="1" applyAlignment="1"/>
    <xf numFmtId="3" fontId="27" fillId="5" borderId="49" xfId="4" applyNumberFormat="1" applyFill="1" applyBorder="1"/>
    <xf numFmtId="10" fontId="27" fillId="0" borderId="59" xfId="4" applyNumberFormat="1" applyBorder="1"/>
    <xf numFmtId="166" fontId="27" fillId="0" borderId="0" xfId="4" applyNumberFormat="1"/>
    <xf numFmtId="4" fontId="27" fillId="0" borderId="20" xfId="4" applyNumberFormat="1" applyBorder="1"/>
    <xf numFmtId="167" fontId="27" fillId="0" borderId="22" xfId="4" applyNumberFormat="1" applyBorder="1" applyAlignment="1"/>
    <xf numFmtId="0" fontId="31" fillId="0" borderId="55" xfId="4" applyFont="1" applyBorder="1"/>
    <xf numFmtId="0" fontId="31" fillId="0" borderId="79" xfId="4" applyFont="1" applyBorder="1"/>
    <xf numFmtId="4" fontId="27" fillId="0" borderId="79" xfId="4" applyNumberFormat="1" applyFill="1" applyBorder="1"/>
    <xf numFmtId="4" fontId="29" fillId="0" borderId="79" xfId="4" applyNumberFormat="1" applyFont="1" applyBorder="1"/>
    <xf numFmtId="0" fontId="1" fillId="0" borderId="5" xfId="0" applyFont="1" applyBorder="1"/>
    <xf numFmtId="0" fontId="1" fillId="0" borderId="8" xfId="0" applyFont="1" applyBorder="1"/>
    <xf numFmtId="0" fontId="1" fillId="0" borderId="10" xfId="0" applyFont="1" applyBorder="1"/>
    <xf numFmtId="0" fontId="8" fillId="0" borderId="0" xfId="0" applyFont="1" applyAlignment="1">
      <alignment horizontal="center"/>
    </xf>
    <xf numFmtId="4" fontId="50" fillId="16" borderId="30" xfId="0" applyNumberFormat="1" applyFont="1" applyFill="1" applyBorder="1" applyAlignment="1">
      <alignment horizontal="right"/>
    </xf>
    <xf numFmtId="4" fontId="51" fillId="16" borderId="30" xfId="0" applyNumberFormat="1" applyFont="1" applyFill="1" applyBorder="1" applyAlignment="1">
      <alignment horizontal="right"/>
    </xf>
    <xf numFmtId="4" fontId="51" fillId="16" borderId="30" xfId="0" applyNumberFormat="1" applyFont="1" applyFill="1" applyBorder="1" applyAlignment="1"/>
    <xf numFmtId="4" fontId="51" fillId="16" borderId="30" xfId="0" applyNumberFormat="1" applyFont="1" applyFill="1" applyBorder="1"/>
    <xf numFmtId="4" fontId="50" fillId="16" borderId="0" xfId="4" applyNumberFormat="1" applyFont="1" applyFill="1"/>
    <xf numFmtId="0" fontId="32" fillId="8" borderId="49" xfId="4" applyFont="1" applyFill="1" applyBorder="1" applyAlignment="1">
      <alignment horizontal="center" vertical="center" wrapText="1"/>
    </xf>
    <xf numFmtId="0" fontId="32" fillId="8" borderId="56" xfId="4" applyFont="1" applyFill="1" applyBorder="1" applyAlignment="1">
      <alignment wrapText="1"/>
    </xf>
    <xf numFmtId="0" fontId="32" fillId="8" borderId="56" xfId="4" applyFont="1" applyFill="1" applyBorder="1" applyAlignment="1">
      <alignment horizontal="center" vertical="center" wrapText="1"/>
    </xf>
    <xf numFmtId="0" fontId="32" fillId="8" borderId="21" xfId="4" applyFont="1" applyFill="1" applyBorder="1" applyAlignment="1">
      <alignment horizontal="center" vertical="center" wrapText="1"/>
    </xf>
    <xf numFmtId="0" fontId="32" fillId="17" borderId="49" xfId="4" applyFont="1" applyFill="1" applyBorder="1" applyAlignment="1">
      <alignment horizontal="center" vertical="center" wrapText="1"/>
    </xf>
    <xf numFmtId="0" fontId="32" fillId="17" borderId="56" xfId="4" applyFont="1" applyFill="1" applyBorder="1" applyAlignment="1">
      <alignment horizontal="center" wrapText="1"/>
    </xf>
    <xf numFmtId="0" fontId="32" fillId="17" borderId="56" xfId="4" applyFont="1" applyFill="1" applyBorder="1" applyAlignment="1">
      <alignment horizontal="center" vertical="center" wrapText="1"/>
    </xf>
    <xf numFmtId="0" fontId="32" fillId="17" borderId="21" xfId="4" applyFont="1" applyFill="1" applyBorder="1" applyAlignment="1">
      <alignment horizontal="center" vertical="center" wrapText="1"/>
    </xf>
    <xf numFmtId="0" fontId="32" fillId="17" borderId="56" xfId="4" applyFont="1" applyFill="1" applyBorder="1" applyAlignment="1">
      <alignment wrapText="1"/>
    </xf>
    <xf numFmtId="0" fontId="8" fillId="17" borderId="4" xfId="0" applyFont="1" applyFill="1" applyBorder="1" applyAlignment="1">
      <alignment horizontal="center" vertical="center"/>
    </xf>
    <xf numFmtId="0" fontId="8" fillId="17" borderId="5" xfId="0" applyFont="1" applyFill="1" applyBorder="1" applyAlignment="1">
      <alignment horizontal="center" vertical="center"/>
    </xf>
    <xf numFmtId="0" fontId="5" fillId="17" borderId="37" xfId="0" applyFont="1" applyFill="1" applyBorder="1" applyAlignment="1">
      <alignment horizontal="center"/>
    </xf>
    <xf numFmtId="0" fontId="5" fillId="17" borderId="36" xfId="0" applyFont="1" applyFill="1" applyBorder="1" applyAlignment="1">
      <alignment horizontal="center"/>
    </xf>
    <xf numFmtId="167" fontId="7" fillId="0" borderId="43" xfId="0" applyNumberFormat="1" applyFont="1" applyFill="1" applyBorder="1"/>
    <xf numFmtId="165" fontId="7" fillId="0" borderId="44" xfId="0" applyNumberFormat="1" applyFont="1" applyFill="1" applyBorder="1"/>
    <xf numFmtId="168" fontId="7" fillId="0" borderId="43" xfId="0" applyNumberFormat="1" applyFont="1" applyFill="1" applyBorder="1"/>
    <xf numFmtId="168" fontId="7" fillId="0" borderId="10" xfId="0" applyNumberFormat="1" applyFont="1" applyFill="1" applyBorder="1"/>
    <xf numFmtId="3" fontId="0" fillId="0" borderId="44" xfId="0" applyNumberFormat="1" applyFont="1" applyFill="1" applyBorder="1" applyAlignment="1"/>
    <xf numFmtId="167" fontId="0" fillId="0" borderId="43" xfId="0" applyNumberFormat="1" applyFont="1" applyFill="1" applyBorder="1" applyAlignment="1"/>
    <xf numFmtId="167" fontId="0" fillId="0" borderId="18" xfId="0" applyNumberFormat="1" applyFont="1" applyFill="1" applyBorder="1" applyAlignment="1"/>
    <xf numFmtId="3" fontId="0" fillId="0" borderId="11" xfId="0" applyNumberFormat="1" applyFont="1" applyFill="1" applyBorder="1" applyAlignment="1"/>
    <xf numFmtId="167" fontId="0" fillId="0" borderId="43" xfId="0" applyNumberFormat="1" applyFont="1" applyBorder="1" applyAlignment="1"/>
    <xf numFmtId="3" fontId="0" fillId="0" borderId="44" xfId="0" applyNumberFormat="1" applyFont="1" applyBorder="1" applyAlignment="1"/>
    <xf numFmtId="167" fontId="0" fillId="0" borderId="11" xfId="0" applyNumberFormat="1" applyFont="1" applyBorder="1" applyAlignment="1"/>
    <xf numFmtId="3" fontId="0" fillId="0" borderId="76" xfId="0" applyNumberFormat="1" applyFont="1" applyBorder="1" applyAlignment="1"/>
    <xf numFmtId="167" fontId="0" fillId="0" borderId="3" xfId="0" applyNumberFormat="1" applyFont="1" applyFill="1" applyBorder="1" applyAlignment="1"/>
    <xf numFmtId="3" fontId="0" fillId="0" borderId="47" xfId="0" applyNumberFormat="1" applyFont="1" applyBorder="1" applyAlignment="1"/>
    <xf numFmtId="167" fontId="0" fillId="0" borderId="34" xfId="0" applyNumberFormat="1" applyFont="1" applyFill="1" applyBorder="1" applyAlignment="1"/>
    <xf numFmtId="3" fontId="0" fillId="0" borderId="37" xfId="0" applyNumberFormat="1" applyFont="1" applyFill="1" applyBorder="1" applyAlignment="1"/>
    <xf numFmtId="167" fontId="0" fillId="0" borderId="65" xfId="0" applyNumberFormat="1" applyFont="1" applyFill="1" applyBorder="1" applyAlignment="1"/>
    <xf numFmtId="3" fontId="0" fillId="0" borderId="64" xfId="0" applyNumberFormat="1" applyFont="1" applyBorder="1" applyAlignment="1"/>
    <xf numFmtId="167" fontId="7" fillId="0" borderId="53" xfId="0" applyNumberFormat="1" applyFont="1" applyFill="1" applyBorder="1"/>
    <xf numFmtId="165" fontId="7" fillId="0" borderId="54" xfId="0" applyNumberFormat="1" applyFont="1" applyFill="1" applyBorder="1"/>
    <xf numFmtId="168" fontId="7" fillId="0" borderId="53" xfId="0" applyNumberFormat="1" applyFont="1" applyFill="1" applyBorder="1"/>
    <xf numFmtId="168" fontId="7" fillId="0" borderId="51" xfId="0" applyNumberFormat="1" applyFont="1" applyFill="1" applyBorder="1"/>
    <xf numFmtId="3" fontId="0" fillId="0" borderId="54" xfId="0" applyNumberFormat="1" applyFont="1" applyFill="1" applyBorder="1"/>
    <xf numFmtId="167" fontId="0" fillId="0" borderId="50" xfId="0" applyNumberFormat="1" applyFont="1" applyFill="1" applyBorder="1"/>
    <xf numFmtId="167" fontId="0" fillId="0" borderId="53" xfId="0" applyNumberFormat="1" applyFont="1" applyBorder="1"/>
    <xf numFmtId="3" fontId="0" fillId="0" borderId="54" xfId="0" applyNumberFormat="1" applyFont="1" applyBorder="1"/>
    <xf numFmtId="167" fontId="0" fillId="0" borderId="54" xfId="0" applyNumberFormat="1" applyFont="1" applyBorder="1"/>
    <xf numFmtId="0" fontId="8" fillId="17" borderId="14" xfId="0" applyFont="1" applyFill="1" applyBorder="1" applyAlignment="1">
      <alignment horizontal="center"/>
    </xf>
    <xf numFmtId="0" fontId="0" fillId="17" borderId="14" xfId="0" applyFill="1" applyBorder="1" applyAlignment="1">
      <alignment horizontal="center"/>
    </xf>
    <xf numFmtId="0" fontId="0" fillId="17" borderId="14" xfId="0" applyFill="1" applyBorder="1"/>
    <xf numFmtId="0" fontId="0" fillId="17" borderId="4" xfId="0" applyFill="1" applyBorder="1"/>
    <xf numFmtId="2" fontId="8" fillId="17" borderId="4" xfId="0" applyNumberFormat="1" applyFont="1" applyFill="1" applyBorder="1" applyAlignment="1">
      <alignment horizontal="center"/>
    </xf>
    <xf numFmtId="0" fontId="8" fillId="17" borderId="4" xfId="0" applyFont="1" applyFill="1" applyBorder="1" applyAlignment="1">
      <alignment horizontal="center"/>
    </xf>
    <xf numFmtId="4" fontId="8" fillId="17" borderId="4" xfId="0" applyNumberFormat="1" applyFont="1" applyFill="1" applyBorder="1" applyAlignment="1">
      <alignment horizontal="center" vertical="center" wrapText="1"/>
    </xf>
    <xf numFmtId="0" fontId="8" fillId="17" borderId="1" xfId="0" applyFont="1" applyFill="1" applyBorder="1" applyAlignment="1">
      <alignment horizontal="center"/>
    </xf>
    <xf numFmtId="0" fontId="0" fillId="17" borderId="4" xfId="0" applyFill="1" applyBorder="1" applyAlignment="1">
      <alignment horizontal="center" vertical="center" wrapText="1"/>
    </xf>
    <xf numFmtId="49" fontId="8" fillId="17" borderId="32" xfId="0" applyNumberFormat="1" applyFont="1" applyFill="1" applyBorder="1" applyAlignment="1">
      <alignment horizontal="center"/>
    </xf>
    <xf numFmtId="0" fontId="8" fillId="17" borderId="32" xfId="0" applyFont="1" applyFill="1" applyBorder="1" applyAlignment="1">
      <alignment horizontal="center"/>
    </xf>
    <xf numFmtId="9" fontId="8" fillId="17" borderId="32" xfId="0" applyNumberFormat="1" applyFont="1" applyFill="1" applyBorder="1" applyAlignment="1">
      <alignment horizontal="center"/>
    </xf>
    <xf numFmtId="0" fontId="0" fillId="17" borderId="32" xfId="0" applyFill="1" applyBorder="1" applyAlignment="1">
      <alignment horizontal="center" vertical="center" wrapText="1"/>
    </xf>
    <xf numFmtId="0" fontId="8" fillId="17" borderId="33" xfId="0" applyFont="1" applyFill="1" applyBorder="1" applyAlignment="1">
      <alignment horizontal="center"/>
    </xf>
    <xf numFmtId="0" fontId="8" fillId="17" borderId="37" xfId="0" applyFont="1" applyFill="1" applyBorder="1" applyAlignment="1">
      <alignment horizontal="center" vertical="center" wrapText="1"/>
    </xf>
    <xf numFmtId="0" fontId="5" fillId="0" borderId="0" xfId="0" applyFont="1" applyAlignment="1"/>
    <xf numFmtId="0" fontId="8" fillId="0" borderId="0" xfId="0" applyFont="1" applyAlignment="1"/>
    <xf numFmtId="0" fontId="4" fillId="0" borderId="0" xfId="0" applyFont="1" applyAlignment="1"/>
    <xf numFmtId="167" fontId="8" fillId="0" borderId="0" xfId="0" applyNumberFormat="1" applyFont="1" applyFill="1" applyBorder="1"/>
    <xf numFmtId="0" fontId="7" fillId="0" borderId="0" xfId="0" applyFont="1" applyFill="1" applyBorder="1" applyAlignment="1">
      <alignment horizontal="left"/>
    </xf>
    <xf numFmtId="0" fontId="7" fillId="0" borderId="23" xfId="0" applyFont="1" applyFill="1" applyBorder="1" applyAlignment="1">
      <alignment horizontal="left"/>
    </xf>
    <xf numFmtId="0" fontId="7" fillId="0" borderId="30" xfId="0" applyFont="1" applyFill="1" applyBorder="1" applyAlignment="1">
      <alignment horizontal="left"/>
    </xf>
    <xf numFmtId="4" fontId="7" fillId="0" borderId="0" xfId="0" applyNumberFormat="1" applyFont="1" applyFill="1" applyBorder="1" applyAlignment="1">
      <alignment horizontal="right"/>
    </xf>
    <xf numFmtId="0" fontId="7" fillId="0" borderId="23" xfId="0" applyFont="1" applyFill="1" applyBorder="1" applyAlignment="1">
      <alignment horizontal="right"/>
    </xf>
    <xf numFmtId="0" fontId="7" fillId="0" borderId="0" xfId="0" applyFont="1" applyFill="1" applyBorder="1" applyAlignment="1">
      <alignment horizontal="right"/>
    </xf>
    <xf numFmtId="3" fontId="7" fillId="0" borderId="53" xfId="0" applyNumberFormat="1" applyFont="1" applyBorder="1" applyAlignment="1">
      <alignment horizontal="right"/>
    </xf>
    <xf numFmtId="3" fontId="8" fillId="0" borderId="0" xfId="0" applyNumberFormat="1" applyFont="1" applyFill="1" applyBorder="1" applyAlignment="1">
      <alignment horizontal="center"/>
    </xf>
    <xf numFmtId="3" fontId="7" fillId="0" borderId="0" xfId="0" applyNumberFormat="1" applyFont="1" applyFill="1" applyBorder="1" applyAlignment="1">
      <alignment horizontal="right"/>
    </xf>
    <xf numFmtId="4" fontId="24" fillId="5" borderId="49" xfId="4" applyNumberFormat="1" applyFont="1" applyFill="1" applyBorder="1"/>
    <xf numFmtId="4" fontId="8" fillId="13" borderId="49" xfId="0" applyNumberFormat="1" applyFont="1" applyFill="1" applyBorder="1" applyAlignment="1"/>
    <xf numFmtId="4" fontId="7" fillId="0" borderId="1" xfId="0" applyNumberFormat="1" applyFont="1" applyFill="1" applyBorder="1" applyAlignment="1">
      <alignment horizontal="right"/>
    </xf>
    <xf numFmtId="4" fontId="7" fillId="0" borderId="2" xfId="0" applyNumberFormat="1" applyFont="1" applyFill="1" applyBorder="1" applyAlignment="1">
      <alignment horizontal="right"/>
    </xf>
    <xf numFmtId="4" fontId="7" fillId="0" borderId="80" xfId="0" applyNumberFormat="1" applyFont="1" applyFill="1" applyBorder="1" applyAlignment="1">
      <alignment horizontal="right"/>
    </xf>
    <xf numFmtId="3" fontId="7" fillId="0" borderId="66" xfId="0" applyNumberFormat="1" applyFont="1" applyBorder="1" applyAlignment="1">
      <alignment horizontal="right"/>
    </xf>
    <xf numFmtId="1" fontId="10" fillId="0" borderId="28" xfId="0" applyNumberFormat="1" applyFont="1" applyFill="1" applyBorder="1" applyAlignment="1">
      <alignment horizontal="center"/>
    </xf>
    <xf numFmtId="4" fontId="12" fillId="0" borderId="49" xfId="0" applyNumberFormat="1" applyFont="1" applyBorder="1" applyAlignment="1">
      <alignment horizontal="right" vertical="center"/>
    </xf>
    <xf numFmtId="4" fontId="12" fillId="0" borderId="82" xfId="0" applyNumberFormat="1" applyFont="1" applyBorder="1" applyAlignment="1">
      <alignment horizontal="right" vertical="center"/>
    </xf>
    <xf numFmtId="4" fontId="12" fillId="0" borderId="0" xfId="0" applyNumberFormat="1" applyFont="1"/>
    <xf numFmtId="4" fontId="12" fillId="5" borderId="56" xfId="0" applyNumberFormat="1" applyFont="1" applyFill="1" applyBorder="1"/>
    <xf numFmtId="4" fontId="12" fillId="5" borderId="0" xfId="0" applyNumberFormat="1" applyFont="1" applyFill="1"/>
    <xf numFmtId="4" fontId="12" fillId="5" borderId="21" xfId="0" applyNumberFormat="1" applyFont="1" applyFill="1" applyBorder="1"/>
    <xf numFmtId="0" fontId="0" fillId="0" borderId="0" xfId="0" applyProtection="1">
      <protection locked="0"/>
    </xf>
    <xf numFmtId="4" fontId="0" fillId="0" borderId="0" xfId="0" applyNumberFormat="1" applyProtection="1">
      <protection locked="0"/>
    </xf>
    <xf numFmtId="167" fontId="0" fillId="0" borderId="0" xfId="0" applyNumberFormat="1" applyProtection="1">
      <protection hidden="1"/>
    </xf>
    <xf numFmtId="0" fontId="0" fillId="0" borderId="0" xfId="0" applyProtection="1">
      <protection hidden="1"/>
    </xf>
    <xf numFmtId="0" fontId="0" fillId="0" borderId="0" xfId="0" applyAlignment="1" applyProtection="1">
      <alignment horizontal="center" vertical="center"/>
      <protection hidden="1"/>
    </xf>
    <xf numFmtId="4" fontId="0" fillId="0" borderId="0" xfId="0" applyNumberFormat="1" applyProtection="1">
      <protection hidden="1"/>
    </xf>
    <xf numFmtId="0" fontId="46" fillId="0" borderId="0" xfId="0" applyFont="1" applyAlignment="1" applyProtection="1">
      <alignment horizontal="center" vertical="center"/>
      <protection locked="0"/>
    </xf>
    <xf numFmtId="3" fontId="9" fillId="0" borderId="0" xfId="0" applyNumberFormat="1" applyFont="1" applyBorder="1" applyProtection="1">
      <protection locked="0"/>
    </xf>
    <xf numFmtId="0" fontId="46" fillId="0" borderId="0" xfId="0" applyFont="1" applyFill="1" applyBorder="1" applyAlignment="1" applyProtection="1">
      <alignment horizontal="center" vertical="center"/>
      <protection locked="0"/>
    </xf>
    <xf numFmtId="3" fontId="49" fillId="0" borderId="0" xfId="0" applyNumberFormat="1" applyFont="1" applyFill="1" applyBorder="1" applyProtection="1">
      <protection locked="0"/>
    </xf>
    <xf numFmtId="0" fontId="0" fillId="0" borderId="6" xfId="0" applyBorder="1" applyProtection="1">
      <protection locked="0"/>
    </xf>
    <xf numFmtId="4" fontId="9" fillId="0" borderId="6" xfId="0" applyNumberFormat="1" applyFont="1" applyFill="1" applyBorder="1" applyProtection="1">
      <protection locked="0"/>
    </xf>
    <xf numFmtId="0" fontId="31" fillId="0" borderId="4" xfId="0" applyFont="1" applyBorder="1" applyAlignment="1" applyProtection="1">
      <alignment horizontal="center"/>
      <protection locked="0"/>
    </xf>
    <xf numFmtId="0" fontId="31" fillId="0" borderId="4" xfId="0" applyFont="1" applyBorder="1" applyAlignment="1" applyProtection="1">
      <alignment wrapText="1"/>
      <protection locked="0"/>
    </xf>
    <xf numFmtId="3" fontId="17" fillId="0" borderId="4" xfId="0" applyNumberFormat="1" applyFont="1" applyBorder="1" applyProtection="1">
      <protection locked="0"/>
    </xf>
    <xf numFmtId="0" fontId="31" fillId="4" borderId="4" xfId="0" applyFont="1" applyFill="1" applyBorder="1" applyAlignment="1" applyProtection="1">
      <alignment wrapText="1"/>
      <protection locked="0"/>
    </xf>
    <xf numFmtId="3" fontId="17" fillId="0" borderId="4" xfId="0" applyNumberFormat="1" applyFont="1" applyFill="1" applyBorder="1" applyProtection="1">
      <protection locked="0"/>
    </xf>
    <xf numFmtId="3" fontId="14" fillId="0" borderId="4" xfId="0" applyNumberFormat="1" applyFont="1" applyFill="1" applyBorder="1" applyProtection="1">
      <protection locked="0"/>
    </xf>
    <xf numFmtId="0" fontId="14" fillId="18" borderId="5" xfId="0" applyFont="1" applyFill="1" applyBorder="1" applyAlignment="1" applyProtection="1">
      <alignment horizontal="center" vertical="center"/>
      <protection locked="0"/>
    </xf>
    <xf numFmtId="166" fontId="0" fillId="0" borderId="0" xfId="0" applyNumberFormat="1" applyProtection="1">
      <protection hidden="1"/>
    </xf>
    <xf numFmtId="167" fontId="17" fillId="0" borderId="0" xfId="0" applyNumberFormat="1" applyFont="1" applyBorder="1" applyProtection="1">
      <protection locked="0"/>
    </xf>
    <xf numFmtId="167" fontId="14" fillId="0" borderId="0" xfId="0" applyNumberFormat="1" applyFont="1" applyFill="1" applyBorder="1" applyProtection="1">
      <protection locked="0"/>
    </xf>
    <xf numFmtId="167" fontId="0" fillId="0" borderId="0" xfId="0" applyNumberFormat="1" applyProtection="1">
      <protection locked="0"/>
    </xf>
    <xf numFmtId="2" fontId="52" fillId="18" borderId="5" xfId="0" applyNumberFormat="1" applyFont="1" applyFill="1" applyBorder="1" applyAlignment="1" applyProtection="1">
      <alignment horizontal="center" vertical="justify"/>
      <protection locked="0"/>
    </xf>
    <xf numFmtId="4" fontId="7" fillId="0" borderId="30" xfId="0" applyNumberFormat="1" applyFont="1" applyFill="1" applyBorder="1" applyAlignment="1">
      <alignment horizontal="right"/>
    </xf>
    <xf numFmtId="0" fontId="0" fillId="0" borderId="0" xfId="0" applyAlignment="1">
      <alignment horizontal="center"/>
    </xf>
    <xf numFmtId="4" fontId="50" fillId="0" borderId="69" xfId="0" applyNumberFormat="1" applyFont="1" applyFill="1" applyBorder="1" applyAlignment="1"/>
    <xf numFmtId="0" fontId="50" fillId="0" borderId="0" xfId="0" applyFont="1" applyFill="1" applyBorder="1" applyAlignment="1"/>
    <xf numFmtId="0" fontId="50" fillId="0" borderId="30" xfId="0" applyFont="1" applyFill="1" applyBorder="1" applyAlignment="1"/>
    <xf numFmtId="4" fontId="51" fillId="16" borderId="57" xfId="4" applyNumberFormat="1" applyFont="1" applyFill="1" applyBorder="1"/>
    <xf numFmtId="0" fontId="8" fillId="0" borderId="0" xfId="0" applyFont="1" applyFill="1" applyBorder="1" applyAlignment="1">
      <alignment horizontal="center" wrapText="1"/>
    </xf>
    <xf numFmtId="49" fontId="11" fillId="0" borderId="31" xfId="0" applyNumberFormat="1" applyFont="1" applyFill="1" applyBorder="1" applyAlignment="1">
      <alignment horizontal="center"/>
    </xf>
    <xf numFmtId="49" fontId="11" fillId="0" borderId="59" xfId="0" applyNumberFormat="1" applyFont="1" applyFill="1" applyBorder="1" applyAlignment="1">
      <alignment horizontal="center"/>
    </xf>
    <xf numFmtId="49" fontId="11" fillId="0" borderId="40" xfId="0" applyNumberFormat="1" applyFont="1" applyFill="1" applyBorder="1" applyAlignment="1">
      <alignment horizontal="center"/>
    </xf>
    <xf numFmtId="0" fontId="7" fillId="0" borderId="23" xfId="0" applyFont="1" applyFill="1" applyBorder="1"/>
    <xf numFmtId="167" fontId="7" fillId="0" borderId="57" xfId="0" applyNumberFormat="1" applyFont="1" applyFill="1" applyBorder="1" applyAlignment="1">
      <alignment horizontal="right" vertical="center"/>
    </xf>
    <xf numFmtId="167" fontId="7" fillId="0" borderId="23" xfId="0" applyNumberFormat="1" applyFont="1" applyFill="1" applyBorder="1" applyAlignment="1">
      <alignment horizontal="right" vertical="center"/>
    </xf>
    <xf numFmtId="167" fontId="7" fillId="0" borderId="55" xfId="0" applyNumberFormat="1" applyFont="1" applyFill="1" applyBorder="1" applyAlignment="1">
      <alignment horizontal="right" vertical="center"/>
    </xf>
    <xf numFmtId="167" fontId="7" fillId="0" borderId="30" xfId="0" applyNumberFormat="1" applyFont="1" applyFill="1" applyBorder="1"/>
    <xf numFmtId="3" fontId="7" fillId="0" borderId="57" xfId="0" applyNumberFormat="1" applyFont="1" applyFill="1" applyBorder="1"/>
    <xf numFmtId="0" fontId="8" fillId="0" borderId="20" xfId="0" applyFont="1" applyFill="1" applyBorder="1"/>
    <xf numFmtId="167" fontId="8" fillId="0" borderId="49" xfId="0" applyNumberFormat="1" applyFont="1" applyFill="1" applyBorder="1" applyAlignment="1">
      <alignment horizontal="right" vertical="center"/>
    </xf>
    <xf numFmtId="167" fontId="8" fillId="0" borderId="20" xfId="0" applyNumberFormat="1" applyFont="1" applyFill="1" applyBorder="1" applyAlignment="1">
      <alignment horizontal="right" vertical="center"/>
    </xf>
    <xf numFmtId="167" fontId="8" fillId="0" borderId="21" xfId="0" applyNumberFormat="1" applyFont="1" applyFill="1" applyBorder="1"/>
    <xf numFmtId="3" fontId="8" fillId="0" borderId="49" xfId="0" applyNumberFormat="1" applyFont="1" applyFill="1" applyBorder="1"/>
    <xf numFmtId="0" fontId="18" fillId="0" borderId="0" xfId="0" applyFont="1" applyAlignment="1">
      <alignment vertical="top"/>
    </xf>
    <xf numFmtId="0" fontId="0" fillId="0" borderId="0" xfId="0" applyFill="1" applyAlignment="1">
      <alignment horizontal="center"/>
    </xf>
    <xf numFmtId="167" fontId="7" fillId="0" borderId="59" xfId="0" applyNumberFormat="1" applyFont="1" applyFill="1" applyBorder="1" applyAlignment="1">
      <alignment horizontal="right" vertical="center"/>
    </xf>
    <xf numFmtId="0" fontId="7" fillId="0" borderId="57" xfId="0" applyFont="1" applyFill="1" applyBorder="1" applyAlignment="1">
      <alignment vertical="center"/>
    </xf>
    <xf numFmtId="164" fontId="7" fillId="0" borderId="0" xfId="1" applyNumberFormat="1" applyFont="1" applyBorder="1" applyAlignment="1">
      <alignment horizontal="center" vertical="center"/>
    </xf>
    <xf numFmtId="3" fontId="7" fillId="0" borderId="66" xfId="0" applyNumberFormat="1" applyFont="1" applyBorder="1" applyAlignment="1">
      <alignment vertical="center"/>
    </xf>
    <xf numFmtId="3" fontId="7" fillId="0" borderId="70" xfId="0" applyNumberFormat="1" applyFont="1" applyFill="1" applyBorder="1" applyAlignment="1">
      <alignment vertical="center"/>
    </xf>
    <xf numFmtId="167" fontId="7" fillId="0" borderId="71" xfId="0" applyNumberFormat="1" applyFont="1" applyFill="1" applyBorder="1" applyAlignment="1">
      <alignment vertical="center"/>
    </xf>
    <xf numFmtId="3" fontId="7" fillId="0" borderId="73" xfId="0" applyNumberFormat="1" applyFont="1" applyFill="1" applyBorder="1" applyAlignment="1">
      <alignment vertical="center"/>
    </xf>
    <xf numFmtId="3" fontId="7" fillId="0" borderId="71" xfId="0" applyNumberFormat="1" applyFont="1" applyFill="1" applyBorder="1" applyAlignment="1">
      <alignment vertical="center"/>
    </xf>
    <xf numFmtId="3" fontId="7" fillId="0" borderId="66" xfId="0" applyNumberFormat="1" applyFont="1" applyFill="1" applyBorder="1" applyAlignment="1">
      <alignment vertical="center"/>
    </xf>
    <xf numFmtId="4" fontId="7" fillId="0" borderId="66" xfId="0" applyNumberFormat="1" applyFont="1" applyFill="1" applyBorder="1" applyAlignment="1">
      <alignment vertical="center"/>
    </xf>
    <xf numFmtId="3" fontId="7" fillId="0" borderId="0" xfId="0" applyNumberFormat="1" applyFont="1" applyBorder="1" applyAlignment="1">
      <alignment vertical="center"/>
    </xf>
    <xf numFmtId="3" fontId="7" fillId="0" borderId="57" xfId="0" applyNumberFormat="1" applyFont="1" applyBorder="1" applyAlignment="1">
      <alignment vertical="center"/>
    </xf>
    <xf numFmtId="3" fontId="7" fillId="0" borderId="29" xfId="0" applyNumberFormat="1" applyFont="1" applyBorder="1" applyAlignment="1">
      <alignment vertical="center"/>
    </xf>
    <xf numFmtId="3" fontId="7" fillId="0" borderId="28" xfId="0" applyNumberFormat="1" applyFont="1" applyFill="1" applyBorder="1" applyAlignment="1">
      <alignment vertical="center"/>
    </xf>
    <xf numFmtId="167" fontId="7" fillId="0" borderId="8" xfId="0" applyNumberFormat="1" applyFont="1" applyFill="1" applyBorder="1" applyAlignment="1">
      <alignment vertical="center"/>
    </xf>
    <xf numFmtId="3" fontId="7" fillId="0" borderId="69" xfId="0" applyNumberFormat="1" applyFont="1" applyFill="1" applyBorder="1" applyAlignment="1">
      <alignment vertical="center"/>
    </xf>
    <xf numFmtId="3" fontId="7" fillId="0" borderId="8" xfId="0" applyNumberFormat="1" applyFont="1" applyFill="1" applyBorder="1" applyAlignment="1">
      <alignment vertical="center"/>
    </xf>
    <xf numFmtId="3" fontId="7" fillId="0" borderId="29" xfId="0" applyNumberFormat="1" applyFont="1" applyFill="1" applyBorder="1" applyAlignment="1">
      <alignment vertical="center"/>
    </xf>
    <xf numFmtId="4" fontId="7" fillId="0" borderId="29" xfId="0" applyNumberFormat="1" applyFont="1" applyFill="1" applyBorder="1" applyAlignment="1">
      <alignment vertical="center"/>
    </xf>
    <xf numFmtId="0" fontId="8" fillId="0" borderId="57" xfId="0" applyFont="1" applyFill="1" applyBorder="1" applyAlignment="1">
      <alignment vertical="center"/>
    </xf>
    <xf numFmtId="164" fontId="8" fillId="0" borderId="0" xfId="1" applyNumberFormat="1" applyFont="1" applyFill="1" applyBorder="1" applyAlignment="1">
      <alignment horizontal="center" vertical="center"/>
    </xf>
    <xf numFmtId="3" fontId="8" fillId="0" borderId="29" xfId="0" applyNumberFormat="1" applyFont="1" applyFill="1" applyBorder="1" applyAlignment="1">
      <alignment vertical="center"/>
    </xf>
    <xf numFmtId="167" fontId="8" fillId="0" borderId="8" xfId="0" applyNumberFormat="1" applyFont="1" applyFill="1" applyBorder="1" applyAlignment="1">
      <alignment vertical="center"/>
    </xf>
    <xf numFmtId="3" fontId="8" fillId="0" borderId="28" xfId="0" applyNumberFormat="1" applyFont="1" applyFill="1" applyBorder="1" applyAlignment="1">
      <alignment vertical="center"/>
    </xf>
    <xf numFmtId="3" fontId="8" fillId="0" borderId="0" xfId="0" applyNumberFormat="1" applyFont="1" applyFill="1" applyBorder="1" applyAlignment="1">
      <alignment vertical="center"/>
    </xf>
    <xf numFmtId="3" fontId="8" fillId="0" borderId="57" xfId="0" applyNumberFormat="1" applyFont="1" applyBorder="1" applyAlignment="1">
      <alignment vertical="center"/>
    </xf>
    <xf numFmtId="164" fontId="7" fillId="0" borderId="0" xfId="1" applyNumberFormat="1" applyFont="1" applyFill="1" applyBorder="1" applyAlignment="1">
      <alignment horizontal="center" vertical="center"/>
    </xf>
    <xf numFmtId="3" fontId="7" fillId="0" borderId="0" xfId="0" applyNumberFormat="1" applyFont="1" applyFill="1" applyBorder="1" applyAlignment="1">
      <alignment vertical="center"/>
    </xf>
    <xf numFmtId="0" fontId="7" fillId="0" borderId="59" xfId="0" applyFont="1" applyFill="1" applyBorder="1" applyAlignment="1">
      <alignment vertical="center"/>
    </xf>
    <xf numFmtId="164" fontId="8" fillId="0" borderId="56" xfId="1" applyNumberFormat="1" applyFont="1" applyFill="1" applyBorder="1" applyAlignment="1">
      <alignment horizontal="center" vertical="center"/>
    </xf>
    <xf numFmtId="3" fontId="8" fillId="0" borderId="54" xfId="0" applyNumberFormat="1" applyFont="1" applyFill="1" applyBorder="1" applyAlignment="1">
      <alignment vertical="center"/>
    </xf>
    <xf numFmtId="3" fontId="8" fillId="0" borderId="53" xfId="0" applyNumberFormat="1" applyFont="1" applyFill="1" applyBorder="1" applyAlignment="1">
      <alignment vertical="center"/>
    </xf>
    <xf numFmtId="167" fontId="8" fillId="0" borderId="51" xfId="0" applyNumberFormat="1" applyFont="1" applyFill="1" applyBorder="1" applyAlignment="1">
      <alignment vertical="center"/>
    </xf>
    <xf numFmtId="3" fontId="8" fillId="0" borderId="51" xfId="0" applyNumberFormat="1" applyFont="1" applyFill="1" applyBorder="1" applyAlignment="1">
      <alignment vertical="center"/>
    </xf>
    <xf numFmtId="3" fontId="8" fillId="0" borderId="52" xfId="0" applyNumberFormat="1" applyFont="1" applyFill="1" applyBorder="1" applyAlignment="1">
      <alignment vertical="center"/>
    </xf>
    <xf numFmtId="0" fontId="8" fillId="0" borderId="12" xfId="0" applyFont="1" applyBorder="1" applyAlignment="1">
      <alignment horizontal="center" vertical="center"/>
    </xf>
    <xf numFmtId="49" fontId="8" fillId="0" borderId="33" xfId="0" applyNumberFormat="1" applyFont="1" applyBorder="1" applyAlignment="1">
      <alignment horizontal="center"/>
    </xf>
    <xf numFmtId="49" fontId="8" fillId="0" borderId="35" xfId="0" applyNumberFormat="1" applyFont="1" applyFill="1" applyBorder="1" applyAlignment="1">
      <alignment horizontal="center"/>
    </xf>
    <xf numFmtId="49" fontId="8" fillId="0" borderId="32" xfId="0" applyNumberFormat="1" applyFont="1" applyFill="1" applyBorder="1" applyAlignment="1">
      <alignment horizontal="center"/>
    </xf>
    <xf numFmtId="167" fontId="0" fillId="0" borderId="11" xfId="0" applyNumberFormat="1" applyFont="1" applyFill="1" applyBorder="1" applyAlignment="1"/>
    <xf numFmtId="3" fontId="0" fillId="0" borderId="76" xfId="0" applyNumberFormat="1" applyFont="1" applyFill="1" applyBorder="1" applyAlignment="1"/>
    <xf numFmtId="167" fontId="0" fillId="0" borderId="52" xfId="0" applyNumberFormat="1" applyFont="1" applyFill="1" applyBorder="1"/>
    <xf numFmtId="3" fontId="0" fillId="0" borderId="47" xfId="0" applyNumberFormat="1" applyFont="1" applyFill="1" applyBorder="1" applyAlignment="1"/>
    <xf numFmtId="3" fontId="0" fillId="0" borderId="64" xfId="0" applyNumberFormat="1" applyFont="1" applyFill="1" applyBorder="1" applyAlignment="1"/>
    <xf numFmtId="0" fontId="8" fillId="0" borderId="0" xfId="0" applyFont="1" applyFill="1" applyBorder="1" applyAlignment="1">
      <alignment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10" fillId="0" borderId="59" xfId="0" applyNumberFormat="1" applyFont="1" applyFill="1" applyBorder="1" applyAlignment="1">
      <alignment horizontal="center" vertical="center" wrapText="1"/>
    </xf>
    <xf numFmtId="167" fontId="32" fillId="0" borderId="49" xfId="4" applyNumberFormat="1" applyFont="1" applyBorder="1" applyAlignment="1">
      <alignment horizontal="right"/>
    </xf>
    <xf numFmtId="0" fontId="8" fillId="0" borderId="0" xfId="0" applyFont="1" applyFill="1" applyBorder="1" applyAlignment="1">
      <alignment horizontal="center" wrapText="1"/>
    </xf>
    <xf numFmtId="3" fontId="0" fillId="0" borderId="0" xfId="0" applyNumberFormat="1" applyProtection="1">
      <protection locked="0"/>
    </xf>
    <xf numFmtId="0" fontId="4" fillId="9" borderId="0" xfId="0" applyFont="1" applyFill="1" applyProtection="1">
      <protection locked="0"/>
    </xf>
    <xf numFmtId="0" fontId="53" fillId="19" borderId="0" xfId="0" applyFont="1" applyFill="1" applyAlignment="1" applyProtection="1">
      <alignment horizontal="centerContinuous"/>
      <protection locked="0"/>
    </xf>
    <xf numFmtId="167" fontId="31" fillId="0" borderId="4" xfId="0" applyNumberFormat="1" applyFont="1" applyBorder="1" applyAlignment="1" applyProtection="1">
      <alignment wrapText="1"/>
      <protection locked="0"/>
    </xf>
    <xf numFmtId="166" fontId="32" fillId="0" borderId="3" xfId="0" applyNumberFormat="1" applyFont="1" applyFill="1" applyBorder="1" applyAlignment="1" applyProtection="1">
      <alignment horizontal="right"/>
      <protection locked="0"/>
    </xf>
    <xf numFmtId="167" fontId="31" fillId="0" borderId="57" xfId="4" applyNumberFormat="1" applyFont="1" applyBorder="1"/>
    <xf numFmtId="167" fontId="32" fillId="0" borderId="49" xfId="4" applyNumberFormat="1" applyFont="1" applyBorder="1"/>
    <xf numFmtId="3" fontId="31" fillId="0" borderId="0" xfId="4" applyNumberFormat="1" applyFont="1"/>
    <xf numFmtId="3" fontId="8" fillId="0" borderId="36" xfId="0" applyNumberFormat="1" applyFont="1" applyFill="1" applyBorder="1"/>
    <xf numFmtId="0" fontId="32" fillId="0" borderId="0" xfId="4" applyFont="1" applyAlignment="1">
      <alignment horizontal="right" vertical="top"/>
    </xf>
    <xf numFmtId="0" fontId="4" fillId="0" borderId="0" xfId="0" applyFont="1" applyAlignment="1">
      <alignment horizontal="right"/>
    </xf>
    <xf numFmtId="0" fontId="29" fillId="0" borderId="0" xfId="2" applyFont="1"/>
    <xf numFmtId="0" fontId="8" fillId="0" borderId="0" xfId="0" applyFont="1" applyAlignment="1">
      <alignment horizontal="right"/>
    </xf>
    <xf numFmtId="0" fontId="8" fillId="0" borderId="0" xfId="0" applyFont="1" applyFill="1" applyBorder="1" applyAlignment="1">
      <alignment horizontal="right" wrapText="1"/>
    </xf>
    <xf numFmtId="0" fontId="29" fillId="0" borderId="0" xfId="4" applyFont="1" applyAlignment="1">
      <alignment horizontal="right"/>
    </xf>
    <xf numFmtId="0" fontId="7" fillId="0" borderId="0" xfId="0" applyFont="1" applyFill="1" applyBorder="1" applyAlignment="1">
      <alignment horizontal="justify" vertical="justify"/>
    </xf>
    <xf numFmtId="0" fontId="8" fillId="0" borderId="0" xfId="0" applyFont="1" applyAlignment="1">
      <alignment horizontal="center"/>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6" xfId="0" applyFont="1" applyBorder="1" applyAlignment="1">
      <alignment horizontal="center" vertical="center" wrapText="1"/>
    </xf>
    <xf numFmtId="0" fontId="0" fillId="0" borderId="29" xfId="0" applyBorder="1" applyAlignment="1">
      <alignment horizontal="center" vertical="center" wrapText="1"/>
    </xf>
    <xf numFmtId="0" fontId="0" fillId="0" borderId="37" xfId="0" applyBorder="1" applyAlignment="1">
      <alignment horizontal="center" vertical="center" wrapText="1"/>
    </xf>
    <xf numFmtId="0" fontId="8" fillId="0" borderId="15"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74" xfId="0" applyFont="1" applyFill="1" applyBorder="1" applyAlignment="1">
      <alignment horizontal="center"/>
    </xf>
    <xf numFmtId="0" fontId="8" fillId="0" borderId="75" xfId="0" applyFont="1" applyFill="1" applyBorder="1" applyAlignment="1">
      <alignment horizontal="center"/>
    </xf>
    <xf numFmtId="0" fontId="8" fillId="0" borderId="76" xfId="0" applyFont="1" applyFill="1" applyBorder="1" applyAlignment="1">
      <alignment horizontal="center"/>
    </xf>
    <xf numFmtId="0" fontId="4" fillId="0" borderId="0" xfId="0" applyFont="1" applyAlignment="1">
      <alignment horizontal="center"/>
    </xf>
    <xf numFmtId="0" fontId="28" fillId="0" borderId="0" xfId="2" applyFont="1" applyAlignment="1">
      <alignment horizontal="center"/>
    </xf>
    <xf numFmtId="0" fontId="29" fillId="0" borderId="0" xfId="2" applyFont="1" applyAlignment="1">
      <alignment horizontal="center"/>
    </xf>
    <xf numFmtId="0" fontId="30" fillId="0" borderId="0" xfId="2" applyFont="1" applyAlignment="1">
      <alignment horizontal="center"/>
    </xf>
    <xf numFmtId="0" fontId="41" fillId="0" borderId="0" xfId="3" applyFont="1" applyAlignment="1">
      <alignment vertical="justify" wrapText="1"/>
    </xf>
    <xf numFmtId="0" fontId="36" fillId="0" borderId="0" xfId="0" applyFont="1" applyAlignment="1">
      <alignment vertical="justify" wrapText="1"/>
    </xf>
    <xf numFmtId="0" fontId="2" fillId="0" borderId="0" xfId="0" applyFont="1" applyFill="1" applyBorder="1" applyAlignment="1">
      <alignment horizontal="center" vertical="distributed"/>
    </xf>
    <xf numFmtId="0" fontId="6" fillId="0" borderId="0" xfId="0" applyFont="1" applyFill="1" applyBorder="1" applyAlignment="1">
      <alignment horizontal="center" vertical="distributed"/>
    </xf>
    <xf numFmtId="0" fontId="6" fillId="0" borderId="0" xfId="0" applyFont="1" applyFill="1" applyBorder="1" applyAlignment="1">
      <alignment horizontal="center" vertical="center"/>
    </xf>
    <xf numFmtId="0" fontId="8" fillId="17" borderId="1" xfId="0" applyFont="1" applyFill="1" applyBorder="1" applyAlignment="1">
      <alignment horizontal="center" vertical="distributed"/>
    </xf>
    <xf numFmtId="0" fontId="8" fillId="17" borderId="3" xfId="0" applyFont="1" applyFill="1" applyBorder="1" applyAlignment="1">
      <alignment horizontal="center" vertical="distributed"/>
    </xf>
    <xf numFmtId="0" fontId="8" fillId="17" borderId="4" xfId="0" applyFont="1" applyFill="1" applyBorder="1" applyAlignment="1">
      <alignment horizontal="center" vertical="distributed"/>
    </xf>
    <xf numFmtId="0" fontId="8" fillId="17" borderId="4" xfId="0" applyFont="1" applyFill="1" applyBorder="1" applyAlignment="1">
      <alignment horizontal="center" vertical="center"/>
    </xf>
    <xf numFmtId="0" fontId="8" fillId="17" borderId="1"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1" fillId="0" borderId="69" xfId="0" applyFont="1" applyBorder="1" applyAlignment="1"/>
    <xf numFmtId="0" fontId="0" fillId="0" borderId="9" xfId="0" applyBorder="1" applyAlignment="1"/>
    <xf numFmtId="49" fontId="1" fillId="0" borderId="42" xfId="0" applyNumberFormat="1" applyFont="1" applyBorder="1" applyAlignment="1">
      <alignment horizontal="left"/>
    </xf>
    <xf numFmtId="0" fontId="0" fillId="0" borderId="12" xfId="0" applyBorder="1" applyAlignment="1"/>
    <xf numFmtId="0" fontId="1" fillId="0" borderId="26" xfId="0" applyFont="1" applyBorder="1" applyAlignment="1"/>
    <xf numFmtId="0" fontId="0" fillId="0" borderId="7" xfId="0" applyBorder="1" applyAlignment="1"/>
    <xf numFmtId="0" fontId="5" fillId="0" borderId="0" xfId="0" applyFont="1" applyAlignment="1">
      <alignment horizontal="center"/>
    </xf>
    <xf numFmtId="0" fontId="5" fillId="0" borderId="0" xfId="0" applyFont="1" applyAlignment="1">
      <alignment horizontal="center" vertical="justify"/>
    </xf>
    <xf numFmtId="0" fontId="8" fillId="17" borderId="5" xfId="0" applyFont="1" applyFill="1" applyBorder="1" applyAlignment="1">
      <alignment horizontal="center" vertical="center"/>
    </xf>
    <xf numFmtId="0" fontId="8" fillId="17" borderId="4" xfId="0" applyFont="1" applyFill="1" applyBorder="1" applyAlignment="1">
      <alignment vertical="center" wrapText="1"/>
    </xf>
    <xf numFmtId="0" fontId="11" fillId="17" borderId="4" xfId="0" applyFont="1" applyFill="1" applyBorder="1" applyAlignment="1">
      <alignment horizontal="center" vertical="distributed"/>
    </xf>
    <xf numFmtId="0" fontId="1" fillId="0" borderId="42" xfId="0" applyFont="1" applyBorder="1" applyAlignment="1"/>
    <xf numFmtId="0" fontId="8" fillId="17" borderId="24" xfId="0" applyFont="1" applyFill="1" applyBorder="1" applyAlignment="1">
      <alignment horizontal="center" vertical="center" wrapText="1"/>
    </xf>
    <xf numFmtId="0" fontId="8" fillId="17" borderId="28" xfId="0" applyFont="1" applyFill="1" applyBorder="1" applyAlignment="1">
      <alignment horizontal="center" vertical="center" wrapText="1"/>
    </xf>
    <xf numFmtId="0" fontId="8" fillId="17" borderId="34"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7" borderId="29"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8" fillId="17" borderId="23" xfId="0" applyFont="1" applyFill="1" applyBorder="1" applyAlignment="1">
      <alignment horizontal="center" vertical="center" wrapText="1"/>
    </xf>
    <xf numFmtId="0" fontId="8" fillId="17" borderId="31"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8" fillId="17" borderId="25" xfId="0" applyFont="1" applyFill="1" applyBorder="1" applyAlignment="1">
      <alignment horizontal="center" vertical="center" wrapText="1"/>
    </xf>
    <xf numFmtId="0" fontId="8" fillId="17" borderId="29"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9" xfId="0" applyFont="1" applyFill="1" applyBorder="1" applyAlignment="1">
      <alignment horizontal="center" vertical="center" wrapText="1"/>
    </xf>
    <xf numFmtId="0" fontId="8" fillId="17" borderId="38"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9" fillId="17" borderId="76" xfId="0" applyFont="1" applyFill="1" applyBorder="1" applyAlignment="1">
      <alignment horizontal="center" vertical="center" wrapText="1"/>
    </xf>
    <xf numFmtId="0" fontId="21" fillId="0" borderId="0" xfId="0" applyFont="1" applyAlignment="1">
      <alignment horizontal="center" vertical="justify"/>
    </xf>
    <xf numFmtId="0" fontId="0" fillId="17" borderId="4" xfId="0" applyFill="1" applyBorder="1" applyAlignment="1">
      <alignment vertical="center" wrapText="1"/>
    </xf>
    <xf numFmtId="2" fontId="8" fillId="17" borderId="4" xfId="0" applyNumberFormat="1" applyFont="1" applyFill="1" applyBorder="1" applyAlignment="1">
      <alignment horizontal="center" wrapText="1"/>
    </xf>
    <xf numFmtId="0" fontId="0" fillId="17" borderId="32" xfId="0" applyFill="1" applyBorder="1" applyAlignment="1">
      <alignment vertical="center" wrapText="1"/>
    </xf>
    <xf numFmtId="0" fontId="8" fillId="17" borderId="4" xfId="0" applyFont="1" applyFill="1" applyBorder="1" applyAlignment="1">
      <alignment horizontal="center"/>
    </xf>
    <xf numFmtId="4" fontId="8" fillId="17" borderId="4" xfId="0" applyNumberFormat="1" applyFont="1" applyFill="1" applyBorder="1" applyAlignment="1">
      <alignment horizontal="center" vertical="center" wrapText="1"/>
    </xf>
    <xf numFmtId="0" fontId="0" fillId="17" borderId="4" xfId="0" applyFill="1" applyBorder="1" applyAlignment="1">
      <alignment horizontal="center" vertical="center" wrapText="1"/>
    </xf>
    <xf numFmtId="0" fontId="0" fillId="17" borderId="32" xfId="0" applyFill="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3" xfId="0" applyFont="1" applyBorder="1" applyAlignment="1">
      <alignment horizontal="center" vertical="center" wrapText="1"/>
    </xf>
    <xf numFmtId="2" fontId="10" fillId="0" borderId="24"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2" fontId="10" fillId="0" borderId="43" xfId="0" applyNumberFormat="1" applyFont="1" applyFill="1" applyBorder="1" applyAlignment="1">
      <alignment horizontal="center" vertical="center" wrapText="1"/>
    </xf>
    <xf numFmtId="2" fontId="10" fillId="0" borderId="10"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0" fillId="0" borderId="3" xfId="0"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5" fillId="0" borderId="8" xfId="0" applyFont="1" applyBorder="1" applyAlignment="1">
      <alignment horizontal="center" vertical="center" wrapText="1"/>
    </xf>
    <xf numFmtId="0" fontId="10" fillId="0" borderId="26" xfId="0" applyFont="1" applyFill="1" applyBorder="1" applyAlignment="1">
      <alignment horizontal="center" vertical="center" wrapText="1"/>
    </xf>
    <xf numFmtId="0" fontId="10" fillId="0" borderId="69" xfId="0" applyFont="1" applyFill="1" applyBorder="1" applyAlignment="1">
      <alignment horizontal="center" vertical="center" wrapText="1"/>
    </xf>
    <xf numFmtId="165" fontId="18" fillId="0" borderId="0" xfId="0" applyNumberFormat="1" applyFont="1" applyAlignment="1">
      <alignment horizontal="left" vertical="center" wrapText="1"/>
    </xf>
    <xf numFmtId="0" fontId="18" fillId="0" borderId="0" xfId="0" applyFont="1" applyFill="1" applyAlignment="1">
      <alignment horizontal="left" wrapText="1"/>
    </xf>
    <xf numFmtId="0" fontId="18" fillId="0" borderId="14" xfId="0" applyFont="1" applyFill="1" applyBorder="1" applyAlignment="1">
      <alignment horizontal="left"/>
    </xf>
    <xf numFmtId="0" fontId="18" fillId="0" borderId="0" xfId="0" applyFont="1" applyAlignment="1">
      <alignment horizontal="left" vertical="center" wrapText="1"/>
    </xf>
    <xf numFmtId="0" fontId="8" fillId="0" borderId="0" xfId="0" applyFont="1" applyAlignment="1">
      <alignment horizontal="center" vertical="center"/>
    </xf>
    <xf numFmtId="0" fontId="8" fillId="0" borderId="55" xfId="0" applyFont="1" applyBorder="1" applyAlignment="1">
      <alignment horizontal="center" vertical="center" textRotation="90"/>
    </xf>
    <xf numFmtId="0" fontId="8" fillId="0" borderId="57" xfId="0" applyFont="1" applyBorder="1" applyAlignment="1">
      <alignment horizontal="center" vertical="center" textRotation="90"/>
    </xf>
    <xf numFmtId="0" fontId="8" fillId="0" borderId="59" xfId="0" applyFont="1" applyBorder="1" applyAlignment="1">
      <alignment horizontal="center" vertical="center" textRotation="90"/>
    </xf>
    <xf numFmtId="2" fontId="8" fillId="0" borderId="66" xfId="0" applyNumberFormat="1" applyFont="1" applyBorder="1" applyAlignment="1">
      <alignment horizontal="center" vertical="center" wrapText="1"/>
    </xf>
    <xf numFmtId="2" fontId="8" fillId="0" borderId="29"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0" fontId="8" fillId="0" borderId="27"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24" xfId="0" applyFont="1" applyBorder="1" applyAlignment="1">
      <alignment horizontal="center" vertical="justify"/>
    </xf>
    <xf numFmtId="0" fontId="8" fillId="0" borderId="28" xfId="0" applyFont="1" applyBorder="1" applyAlignment="1">
      <alignment horizontal="center" vertical="justify"/>
    </xf>
    <xf numFmtId="0" fontId="8" fillId="0" borderId="43" xfId="0" applyFont="1" applyBorder="1" applyAlignment="1">
      <alignment horizontal="center" vertical="justify"/>
    </xf>
    <xf numFmtId="0" fontId="8" fillId="0" borderId="81" xfId="0" applyFont="1" applyBorder="1" applyAlignment="1">
      <alignment horizontal="center" vertical="justify"/>
    </xf>
    <xf numFmtId="0" fontId="8" fillId="0" borderId="6" xfId="0" applyFont="1" applyBorder="1" applyAlignment="1">
      <alignment horizontal="center" vertical="justify"/>
    </xf>
    <xf numFmtId="0" fontId="8" fillId="0" borderId="77" xfId="0" applyFont="1" applyBorder="1" applyAlignment="1">
      <alignment horizontal="center" vertical="justify"/>
    </xf>
    <xf numFmtId="0" fontId="8" fillId="0" borderId="11" xfId="0" applyFont="1" applyBorder="1" applyAlignment="1">
      <alignment horizontal="center" vertical="justify"/>
    </xf>
    <xf numFmtId="0" fontId="8" fillId="0" borderId="8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5" xfId="0" applyFont="1" applyFill="1" applyBorder="1" applyAlignment="1">
      <alignment horizontal="center" wrapText="1"/>
    </xf>
    <xf numFmtId="0" fontId="8" fillId="0" borderId="29" xfId="0" applyFont="1" applyFill="1" applyBorder="1" applyAlignment="1">
      <alignment horizontal="center" wrapText="1"/>
    </xf>
    <xf numFmtId="0" fontId="8" fillId="0" borderId="44" xfId="0" applyFont="1" applyFill="1" applyBorder="1" applyAlignment="1">
      <alignment horizontal="center" wrapText="1"/>
    </xf>
    <xf numFmtId="2" fontId="8" fillId="0" borderId="25" xfId="0" applyNumberFormat="1" applyFont="1" applyBorder="1" applyAlignment="1">
      <alignment horizontal="center" vertical="justify"/>
    </xf>
    <xf numFmtId="2" fontId="8" fillId="0" borderId="29" xfId="0" applyNumberFormat="1" applyFont="1" applyBorder="1" applyAlignment="1">
      <alignment horizontal="center" vertical="justify"/>
    </xf>
    <xf numFmtId="2" fontId="8" fillId="0" borderId="44" xfId="0" applyNumberFormat="1" applyFont="1" applyBorder="1" applyAlignment="1">
      <alignment horizontal="center" vertical="justify"/>
    </xf>
    <xf numFmtId="0" fontId="38" fillId="0" borderId="0" xfId="0" applyFont="1" applyAlignment="1">
      <alignment horizontal="left" vertical="center" wrapText="1"/>
    </xf>
    <xf numFmtId="165" fontId="38" fillId="0" borderId="0" xfId="0" applyNumberFormat="1" applyFont="1" applyAlignment="1">
      <alignment horizontal="left"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5"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38" fillId="0" borderId="14" xfId="0" applyFont="1" applyBorder="1" applyAlignment="1">
      <alignment horizontal="left" vertical="center"/>
    </xf>
    <xf numFmtId="0" fontId="38" fillId="0" borderId="0" xfId="0" applyFont="1" applyAlignment="1">
      <alignment horizontal="left" vertical="justify"/>
    </xf>
    <xf numFmtId="0" fontId="8" fillId="0" borderId="58" xfId="0" applyFont="1" applyBorder="1" applyAlignment="1">
      <alignment horizont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18" fillId="0" borderId="14" xfId="0" applyFont="1" applyBorder="1" applyAlignment="1">
      <alignment horizontal="left" vertical="center"/>
    </xf>
    <xf numFmtId="0" fontId="8" fillId="0" borderId="0" xfId="0" applyFont="1" applyBorder="1" applyAlignment="1">
      <alignment horizontal="center" vertical="justify"/>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1" xfId="0" applyFont="1" applyBorder="1" applyAlignment="1">
      <alignment horizontal="center" vertical="justify"/>
    </xf>
    <xf numFmtId="0" fontId="8" fillId="0" borderId="8" xfId="0" applyFont="1" applyBorder="1" applyAlignment="1">
      <alignment horizontal="center" vertical="justify"/>
    </xf>
    <xf numFmtId="0" fontId="8" fillId="0" borderId="71" xfId="0" applyFont="1" applyBorder="1" applyAlignment="1">
      <alignment horizontal="center" vertical="justify" wrapText="1"/>
    </xf>
    <xf numFmtId="0" fontId="8" fillId="0" borderId="8" xfId="0" applyFont="1" applyBorder="1" applyAlignment="1">
      <alignment horizontal="center" vertical="justify" wrapText="1"/>
    </xf>
    <xf numFmtId="0" fontId="8" fillId="0" borderId="71"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8" fillId="0" borderId="0" xfId="0" applyFont="1" applyBorder="1" applyAlignment="1">
      <alignment horizontal="left" vertical="center"/>
    </xf>
    <xf numFmtId="0" fontId="34" fillId="0" borderId="0" xfId="0" applyFont="1" applyAlignment="1">
      <alignment horizontal="left" vertical="center" wrapText="1"/>
    </xf>
    <xf numFmtId="0" fontId="8" fillId="0" borderId="70"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0" fillId="0" borderId="0" xfId="0" applyAlignment="1">
      <alignment horizontal="right"/>
    </xf>
    <xf numFmtId="0" fontId="18" fillId="0" borderId="0" xfId="0" applyFont="1" applyAlignment="1">
      <alignment horizontal="left" vertical="justify"/>
    </xf>
    <xf numFmtId="0" fontId="34" fillId="0" borderId="0" xfId="0" applyFont="1" applyFill="1" applyBorder="1" applyAlignment="1">
      <alignment horizontal="left"/>
    </xf>
    <xf numFmtId="0" fontId="8" fillId="0" borderId="0" xfId="0" applyFont="1" applyBorder="1" applyAlignment="1">
      <alignment horizontal="center"/>
    </xf>
    <xf numFmtId="0" fontId="14" fillId="0" borderId="7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71" xfId="0" applyFont="1" applyFill="1" applyBorder="1" applyAlignment="1">
      <alignment horizontal="center" vertical="justify"/>
    </xf>
    <xf numFmtId="0" fontId="14" fillId="0" borderId="8" xfId="0" applyFont="1" applyFill="1" applyBorder="1" applyAlignment="1">
      <alignment horizontal="center" vertical="justify"/>
    </xf>
    <xf numFmtId="0" fontId="14" fillId="0" borderId="66"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8" fillId="0" borderId="0" xfId="0" applyFont="1" applyFill="1" applyBorder="1" applyAlignment="1">
      <alignment horizontal="center" wrapText="1"/>
    </xf>
    <xf numFmtId="0" fontId="11" fillId="0" borderId="13"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0" xfId="0" applyFont="1" applyFill="1" applyBorder="1" applyAlignment="1">
      <alignment horizontal="center" wrapText="1"/>
    </xf>
    <xf numFmtId="0" fontId="11" fillId="0" borderId="21" xfId="0" applyFont="1" applyFill="1" applyBorder="1" applyAlignment="1">
      <alignment horizontal="center" wrapText="1"/>
    </xf>
    <xf numFmtId="0" fontId="11" fillId="0" borderId="56" xfId="0" applyFont="1" applyFill="1" applyBorder="1" applyAlignment="1">
      <alignment horizontal="center" wrapText="1"/>
    </xf>
    <xf numFmtId="0" fontId="11" fillId="0" borderId="55" xfId="0"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1" fillId="0" borderId="55" xfId="0" applyFont="1" applyFill="1" applyBorder="1" applyAlignment="1">
      <alignment horizontal="center" vertical="distributed"/>
    </xf>
    <xf numFmtId="0" fontId="11" fillId="0" borderId="57" xfId="0" applyFont="1" applyFill="1" applyBorder="1" applyAlignment="1">
      <alignment horizontal="center" vertical="distributed"/>
    </xf>
    <xf numFmtId="0" fontId="10" fillId="0" borderId="55" xfId="0" applyFont="1" applyFill="1" applyBorder="1" applyAlignment="1">
      <alignment horizontal="center" vertical="distributed"/>
    </xf>
    <xf numFmtId="0" fontId="10" fillId="0" borderId="57" xfId="0" applyFont="1" applyFill="1" applyBorder="1" applyAlignment="1">
      <alignment horizontal="center" vertical="distributed"/>
    </xf>
    <xf numFmtId="0" fontId="8" fillId="0" borderId="0" xfId="0" applyFont="1" applyBorder="1" applyAlignment="1">
      <alignment horizontal="center" vertical="center" wrapText="1"/>
    </xf>
    <xf numFmtId="2" fontId="8" fillId="0" borderId="71" xfId="0" applyNumberFormat="1" applyFont="1" applyBorder="1" applyAlignment="1">
      <alignment horizontal="center" vertical="center" wrapText="1"/>
    </xf>
    <xf numFmtId="2" fontId="0" fillId="0" borderId="8" xfId="0" applyNumberFormat="1" applyBorder="1" applyAlignment="1">
      <alignment horizontal="center" vertical="center" wrapText="1"/>
    </xf>
    <xf numFmtId="165" fontId="37" fillId="0" borderId="0" xfId="0" applyNumberFormat="1" applyFont="1" applyAlignment="1">
      <alignment horizontal="left" vertical="center" wrapText="1"/>
    </xf>
    <xf numFmtId="165" fontId="36" fillId="0" borderId="0" xfId="0" applyNumberFormat="1" applyFont="1" applyAlignment="1">
      <alignment horizontal="left" vertical="center" wrapText="1"/>
    </xf>
    <xf numFmtId="0" fontId="8" fillId="0" borderId="11" xfId="0" applyFont="1" applyBorder="1" applyAlignment="1">
      <alignment horizontal="center"/>
    </xf>
    <xf numFmtId="0" fontId="8" fillId="0" borderId="20"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56" xfId="0" applyFont="1" applyFill="1" applyBorder="1" applyAlignment="1">
      <alignment horizontal="center" vertical="center"/>
    </xf>
    <xf numFmtId="0" fontId="8" fillId="0" borderId="21" xfId="0" applyFont="1" applyFill="1" applyBorder="1" applyAlignment="1">
      <alignment horizontal="center" vertical="center"/>
    </xf>
    <xf numFmtId="4" fontId="10" fillId="0" borderId="55" xfId="0" applyNumberFormat="1" applyFont="1" applyFill="1" applyBorder="1" applyAlignment="1">
      <alignment horizontal="center" vertical="center" wrapText="1"/>
    </xf>
    <xf numFmtId="0" fontId="15" fillId="0" borderId="57" xfId="0" applyFont="1" applyBorder="1" applyAlignment="1">
      <alignment horizontal="center" vertical="center" wrapText="1"/>
    </xf>
    <xf numFmtId="0" fontId="15" fillId="0" borderId="59" xfId="0" applyFont="1" applyBorder="1" applyAlignment="1">
      <alignment horizontal="center" vertical="center" wrapText="1"/>
    </xf>
    <xf numFmtId="4" fontId="10" fillId="0" borderId="58" xfId="0" applyNumberFormat="1" applyFont="1" applyFill="1" applyBorder="1" applyAlignment="1">
      <alignment horizontal="center" vertical="center" wrapText="1"/>
    </xf>
    <xf numFmtId="0" fontId="15" fillId="0" borderId="30" xfId="0" applyFont="1" applyBorder="1" applyAlignment="1">
      <alignment horizontal="center" vertical="center"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2" fontId="10" fillId="0" borderId="13" xfId="0" applyNumberFormat="1" applyFont="1" applyFill="1" applyBorder="1" applyAlignment="1">
      <alignment horizontal="center" vertical="center" wrapText="1"/>
    </xf>
    <xf numFmtId="0" fontId="15" fillId="0" borderId="5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0" xfId="0" applyFont="1" applyBorder="1" applyAlignment="1">
      <alignment horizontal="center" vertical="center" wrapText="1"/>
    </xf>
    <xf numFmtId="4" fontId="10" fillId="0" borderId="57" xfId="0" applyNumberFormat="1" applyFont="1" applyFill="1" applyBorder="1" applyAlignment="1">
      <alignment horizontal="center" vertical="center" wrapText="1"/>
    </xf>
    <xf numFmtId="0" fontId="10" fillId="0" borderId="55" xfId="0" applyFont="1" applyFill="1" applyBorder="1" applyAlignment="1">
      <alignment horizontal="center" vertical="center"/>
    </xf>
    <xf numFmtId="0" fontId="10" fillId="0" borderId="57" xfId="0" applyFont="1" applyFill="1" applyBorder="1" applyAlignment="1">
      <alignment horizontal="center" vertical="center"/>
    </xf>
    <xf numFmtId="0" fontId="28" fillId="0" borderId="0" xfId="4" applyFont="1" applyAlignment="1">
      <alignment horizontal="center"/>
    </xf>
    <xf numFmtId="0" fontId="29" fillId="0" borderId="0" xfId="4" applyFont="1" applyAlignment="1">
      <alignment horizontal="center"/>
    </xf>
    <xf numFmtId="0" fontId="30" fillId="0" borderId="0" xfId="4" applyFont="1" applyAlignment="1">
      <alignment horizontal="center"/>
    </xf>
    <xf numFmtId="0" fontId="31" fillId="0" borderId="0" xfId="4" applyFont="1" applyAlignment="1">
      <alignment horizontal="justify" wrapText="1"/>
    </xf>
    <xf numFmtId="0" fontId="32" fillId="8" borderId="1" xfId="4" applyFont="1" applyFill="1" applyBorder="1" applyAlignment="1">
      <alignment horizontal="left"/>
    </xf>
    <xf numFmtId="0" fontId="32" fillId="8" borderId="3" xfId="4" applyFont="1" applyFill="1" applyBorder="1" applyAlignment="1">
      <alignment horizontal="left"/>
    </xf>
    <xf numFmtId="0" fontId="46" fillId="0" borderId="0" xfId="0" applyFont="1" applyAlignment="1" applyProtection="1">
      <alignment horizontal="center" vertical="center"/>
      <protection locked="0"/>
    </xf>
    <xf numFmtId="0" fontId="32" fillId="0" borderId="1" xfId="0" applyFont="1" applyFill="1" applyBorder="1" applyAlignment="1" applyProtection="1">
      <alignment horizontal="center"/>
      <protection locked="0"/>
    </xf>
    <xf numFmtId="0" fontId="32" fillId="0" borderId="3" xfId="0" applyFont="1" applyFill="1" applyBorder="1" applyAlignment="1" applyProtection="1">
      <alignment horizontal="center"/>
      <protection locked="0"/>
    </xf>
    <xf numFmtId="0" fontId="4" fillId="5" borderId="0" xfId="0" applyFont="1" applyFill="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xf>
    <xf numFmtId="0" fontId="47" fillId="14" borderId="1" xfId="0" applyFont="1" applyFill="1" applyBorder="1" applyAlignment="1">
      <alignment horizontal="center"/>
    </xf>
    <xf numFmtId="0" fontId="47" fillId="14" borderId="3" xfId="0" applyFont="1" applyFill="1" applyBorder="1" applyAlignment="1">
      <alignment horizontal="center"/>
    </xf>
    <xf numFmtId="0" fontId="46" fillId="14" borderId="4" xfId="0" applyFont="1" applyFill="1" applyBorder="1" applyAlignment="1">
      <alignment horizontal="center" vertical="center"/>
    </xf>
    <xf numFmtId="0" fontId="46" fillId="0" borderId="0" xfId="0" applyFont="1" applyAlignment="1">
      <alignment horizontal="center" vertical="center"/>
    </xf>
    <xf numFmtId="0" fontId="47" fillId="14" borderId="5" xfId="0" applyFont="1" applyFill="1" applyBorder="1" applyAlignment="1">
      <alignment horizontal="center" vertical="center"/>
    </xf>
    <xf numFmtId="0" fontId="47" fillId="14" borderId="8" xfId="0" applyFont="1" applyFill="1" applyBorder="1" applyAlignment="1">
      <alignment horizontal="center" vertical="center"/>
    </xf>
    <xf numFmtId="0" fontId="47" fillId="14" borderId="10" xfId="0" applyFont="1" applyFill="1" applyBorder="1" applyAlignment="1">
      <alignment horizontal="center" vertical="center"/>
    </xf>
    <xf numFmtId="0" fontId="47" fillId="15" borderId="5" xfId="0" applyFont="1" applyFill="1" applyBorder="1" applyAlignment="1">
      <alignment horizontal="center" vertical="center" wrapText="1"/>
    </xf>
    <xf numFmtId="0" fontId="47" fillId="15" borderId="8" xfId="0" applyFont="1" applyFill="1" applyBorder="1" applyAlignment="1">
      <alignment horizontal="center" vertical="center" wrapText="1"/>
    </xf>
    <xf numFmtId="0" fontId="47" fillId="15" borderId="10" xfId="0" applyFont="1" applyFill="1" applyBorder="1" applyAlignment="1">
      <alignment horizontal="center" vertical="center" wrapText="1"/>
    </xf>
    <xf numFmtId="0" fontId="46" fillId="14" borderId="5" xfId="0" applyFont="1" applyFill="1" applyBorder="1" applyAlignment="1">
      <alignment horizontal="center" vertical="center"/>
    </xf>
    <xf numFmtId="0" fontId="46" fillId="14" borderId="8" xfId="0" applyFont="1" applyFill="1" applyBorder="1" applyAlignment="1">
      <alignment horizontal="center" vertical="center"/>
    </xf>
    <xf numFmtId="0" fontId="46" fillId="14" borderId="10" xfId="0" applyFont="1" applyFill="1" applyBorder="1" applyAlignment="1">
      <alignment horizontal="center" vertical="center"/>
    </xf>
    <xf numFmtId="0" fontId="8" fillId="7" borderId="20" xfId="0" applyFont="1" applyFill="1" applyBorder="1" applyAlignment="1">
      <alignment horizontal="center"/>
    </xf>
    <xf numFmtId="0" fontId="8" fillId="7" borderId="56" xfId="0" applyFont="1" applyFill="1" applyBorder="1" applyAlignment="1">
      <alignment horizontal="center"/>
    </xf>
    <xf numFmtId="0" fontId="7" fillId="0" borderId="13" xfId="0" applyFont="1" applyFill="1" applyBorder="1" applyAlignment="1">
      <alignment horizontal="left"/>
    </xf>
    <xf numFmtId="0" fontId="7" fillId="0" borderId="14" xfId="0" applyFont="1" applyFill="1" applyBorder="1" applyAlignment="1">
      <alignment horizontal="left"/>
    </xf>
    <xf numFmtId="0" fontId="7" fillId="0" borderId="58" xfId="0" applyFont="1" applyFill="1" applyBorder="1" applyAlignment="1">
      <alignment horizontal="left"/>
    </xf>
    <xf numFmtId="0" fontId="7" fillId="0" borderId="23" xfId="0" applyFont="1" applyFill="1" applyBorder="1" applyAlignment="1">
      <alignment horizontal="left"/>
    </xf>
    <xf numFmtId="0" fontId="7" fillId="0" borderId="0" xfId="0" applyFont="1" applyFill="1" applyBorder="1" applyAlignment="1">
      <alignment horizontal="left"/>
    </xf>
    <xf numFmtId="0" fontId="7" fillId="0" borderId="30" xfId="0" applyFont="1" applyFill="1" applyBorder="1" applyAlignment="1">
      <alignment horizontal="left"/>
    </xf>
    <xf numFmtId="0" fontId="7" fillId="0" borderId="60" xfId="0" applyFont="1" applyFill="1" applyBorder="1" applyAlignment="1">
      <alignment horizontal="left"/>
    </xf>
    <xf numFmtId="0" fontId="7" fillId="0" borderId="2" xfId="0" applyFont="1" applyFill="1" applyBorder="1" applyAlignment="1">
      <alignment horizontal="left"/>
    </xf>
    <xf numFmtId="0" fontId="7" fillId="0" borderId="3" xfId="0" applyFont="1" applyFill="1" applyBorder="1" applyAlignment="1">
      <alignment horizontal="left"/>
    </xf>
    <xf numFmtId="0" fontId="8" fillId="0" borderId="62" xfId="0" applyFont="1" applyFill="1" applyBorder="1" applyAlignment="1">
      <alignment horizontal="left"/>
    </xf>
    <xf numFmtId="0" fontId="8" fillId="0" borderId="68" xfId="0" applyFont="1" applyFill="1" applyBorder="1" applyAlignment="1">
      <alignment horizontal="left"/>
    </xf>
    <xf numFmtId="0" fontId="8" fillId="0" borderId="65" xfId="0" applyFont="1" applyFill="1" applyBorder="1" applyAlignment="1">
      <alignment horizontal="left"/>
    </xf>
    <xf numFmtId="4" fontId="8" fillId="13" borderId="33" xfId="0" applyNumberFormat="1" applyFont="1" applyFill="1" applyBorder="1" applyAlignment="1">
      <alignment horizontal="right"/>
    </xf>
    <xf numFmtId="4" fontId="8" fillId="13" borderId="68" xfId="0" applyNumberFormat="1" applyFont="1" applyFill="1" applyBorder="1" applyAlignment="1">
      <alignment horizontal="right"/>
    </xf>
    <xf numFmtId="4" fontId="8" fillId="13" borderId="35" xfId="0" applyNumberFormat="1" applyFont="1" applyFill="1" applyBorder="1" applyAlignment="1">
      <alignment horizontal="righ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18" xfId="0" applyFont="1" applyFill="1" applyBorder="1" applyAlignment="1">
      <alignment horizontal="left"/>
    </xf>
    <xf numFmtId="4" fontId="7" fillId="13" borderId="19" xfId="0" applyNumberFormat="1" applyFont="1" applyFill="1" applyBorder="1" applyAlignment="1">
      <alignment horizontal="right"/>
    </xf>
    <xf numFmtId="4" fontId="7" fillId="13" borderId="17" xfId="0" applyNumberFormat="1" applyFont="1" applyFill="1" applyBorder="1" applyAlignment="1">
      <alignment horizontal="right"/>
    </xf>
    <xf numFmtId="4" fontId="7" fillId="13" borderId="16" xfId="0" applyNumberFormat="1" applyFont="1" applyFill="1" applyBorder="1" applyAlignment="1">
      <alignment horizontal="right"/>
    </xf>
    <xf numFmtId="0" fontId="7" fillId="0" borderId="23" xfId="0" applyFont="1" applyFill="1" applyBorder="1" applyAlignment="1">
      <alignment horizontal="right"/>
    </xf>
    <xf numFmtId="0" fontId="7" fillId="0" borderId="0" xfId="0" applyFont="1" applyFill="1" applyBorder="1" applyAlignment="1">
      <alignment horizontal="right"/>
    </xf>
    <xf numFmtId="4" fontId="7" fillId="0" borderId="23" xfId="0" applyNumberFormat="1" applyFont="1" applyFill="1" applyBorder="1" applyAlignment="1">
      <alignment horizontal="right"/>
    </xf>
    <xf numFmtId="4" fontId="7" fillId="0" borderId="0" xfId="0" applyNumberFormat="1" applyFont="1" applyFill="1" applyBorder="1" applyAlignment="1">
      <alignment horizontal="right"/>
    </xf>
    <xf numFmtId="0" fontId="7" fillId="0" borderId="74" xfId="0" applyFont="1" applyFill="1" applyBorder="1" applyAlignment="1">
      <alignment horizontal="left"/>
    </xf>
    <xf numFmtId="0" fontId="7" fillId="0" borderId="75" xfId="0" applyFont="1" applyFill="1" applyBorder="1" applyAlignment="1">
      <alignment horizontal="left"/>
    </xf>
    <xf numFmtId="4" fontId="7" fillId="13" borderId="75" xfId="0" applyNumberFormat="1" applyFont="1" applyFill="1" applyBorder="1" applyAlignment="1">
      <alignment horizontal="right"/>
    </xf>
    <xf numFmtId="4" fontId="7" fillId="13" borderId="76" xfId="0" applyNumberFormat="1" applyFont="1" applyFill="1" applyBorder="1" applyAlignment="1">
      <alignment horizontal="right"/>
    </xf>
    <xf numFmtId="4" fontId="7" fillId="13" borderId="1" xfId="0" applyNumberFormat="1" applyFont="1" applyFill="1" applyBorder="1" applyAlignment="1">
      <alignment horizontal="right"/>
    </xf>
    <xf numFmtId="4" fontId="7" fillId="13" borderId="2" xfId="0" applyNumberFormat="1" applyFont="1" applyFill="1" applyBorder="1" applyAlignment="1">
      <alignment horizontal="right"/>
    </xf>
    <xf numFmtId="4" fontId="7" fillId="13" borderId="80" xfId="0" applyNumberFormat="1" applyFont="1" applyFill="1" applyBorder="1" applyAlignment="1">
      <alignment horizontal="right"/>
    </xf>
    <xf numFmtId="0" fontId="7" fillId="0" borderId="46" xfId="0" applyFont="1" applyFill="1" applyBorder="1" applyAlignment="1">
      <alignment horizontal="left"/>
    </xf>
    <xf numFmtId="0" fontId="7" fillId="0" borderId="4" xfId="0" applyFont="1" applyFill="1" applyBorder="1" applyAlignment="1">
      <alignment horizontal="left"/>
    </xf>
    <xf numFmtId="4" fontId="7" fillId="13" borderId="4" xfId="0" applyNumberFormat="1" applyFont="1" applyFill="1" applyBorder="1" applyAlignment="1">
      <alignment horizontal="right"/>
    </xf>
    <xf numFmtId="4" fontId="7" fillId="13" borderId="47" xfId="0" applyNumberFormat="1" applyFont="1" applyFill="1" applyBorder="1" applyAlignment="1">
      <alignment horizontal="right"/>
    </xf>
    <xf numFmtId="0" fontId="7" fillId="0" borderId="31" xfId="0" applyFont="1" applyFill="1" applyBorder="1" applyAlignment="1">
      <alignment horizontal="left"/>
    </xf>
    <xf numFmtId="0" fontId="7" fillId="0" borderId="22" xfId="0" applyFont="1" applyFill="1" applyBorder="1" applyAlignment="1">
      <alignment horizontal="left"/>
    </xf>
    <xf numFmtId="0" fontId="7" fillId="0" borderId="40" xfId="0" applyFont="1" applyFill="1" applyBorder="1" applyAlignment="1">
      <alignment horizontal="left"/>
    </xf>
    <xf numFmtId="0" fontId="7" fillId="0" borderId="31" xfId="0" applyFont="1" applyFill="1" applyBorder="1" applyAlignment="1">
      <alignment horizontal="right"/>
    </xf>
    <xf numFmtId="0" fontId="7" fillId="0" borderId="22" xfId="0" applyFont="1" applyFill="1" applyBorder="1" applyAlignment="1">
      <alignment horizontal="right"/>
    </xf>
    <xf numFmtId="0" fontId="8" fillId="0" borderId="63" xfId="0" applyFont="1" applyFill="1" applyBorder="1" applyAlignment="1">
      <alignment horizontal="left"/>
    </xf>
    <xf numFmtId="0" fontId="8" fillId="0" borderId="32" xfId="0" applyFont="1" applyFill="1" applyBorder="1" applyAlignment="1">
      <alignment horizontal="left"/>
    </xf>
    <xf numFmtId="4" fontId="8" fillId="13" borderId="32" xfId="0" applyNumberFormat="1" applyFont="1" applyFill="1" applyBorder="1" applyAlignment="1">
      <alignment horizontal="right"/>
    </xf>
    <xf numFmtId="0" fontId="8" fillId="13" borderId="64" xfId="0" applyFont="1" applyFill="1" applyBorder="1" applyAlignment="1">
      <alignment horizontal="right"/>
    </xf>
    <xf numFmtId="0" fontId="8" fillId="0" borderId="69" xfId="0" applyFont="1" applyFill="1" applyBorder="1" applyAlignment="1">
      <alignment horizontal="left"/>
    </xf>
    <xf numFmtId="0" fontId="8" fillId="0" borderId="0" xfId="0" applyFont="1" applyFill="1" applyBorder="1" applyAlignment="1">
      <alignment horizontal="left"/>
    </xf>
    <xf numFmtId="0" fontId="8" fillId="0" borderId="9" xfId="0" applyFont="1" applyFill="1" applyBorder="1" applyAlignment="1">
      <alignment horizontal="left"/>
    </xf>
    <xf numFmtId="0" fontId="12" fillId="0" borderId="0" xfId="0" applyFont="1" applyFill="1" applyBorder="1" applyAlignment="1">
      <alignment horizontal="left"/>
    </xf>
    <xf numFmtId="0" fontId="8" fillId="0" borderId="42" xfId="0" applyFont="1" applyFill="1" applyBorder="1" applyAlignment="1">
      <alignment horizontal="left"/>
    </xf>
    <xf numFmtId="0" fontId="8" fillId="0" borderId="11" xfId="0" applyFont="1" applyFill="1" applyBorder="1" applyAlignment="1">
      <alignment horizontal="left"/>
    </xf>
    <xf numFmtId="0" fontId="8" fillId="0" borderId="12" xfId="0" applyFont="1" applyFill="1" applyBorder="1" applyAlignment="1">
      <alignment horizontal="left"/>
    </xf>
    <xf numFmtId="0" fontId="8" fillId="0" borderId="42" xfId="0" applyFont="1" applyFill="1" applyBorder="1" applyAlignment="1">
      <alignment horizontal="right"/>
    </xf>
    <xf numFmtId="0" fontId="8" fillId="0" borderId="11" xfId="0" applyFont="1" applyFill="1" applyBorder="1" applyAlignment="1">
      <alignment horizontal="right"/>
    </xf>
    <xf numFmtId="0" fontId="8" fillId="0" borderId="12" xfId="0" applyFont="1" applyFill="1" applyBorder="1" applyAlignment="1">
      <alignment horizontal="right"/>
    </xf>
    <xf numFmtId="4" fontId="7" fillId="0" borderId="30" xfId="0" applyNumberFormat="1" applyFont="1" applyFill="1" applyBorder="1" applyAlignment="1">
      <alignment horizontal="right"/>
    </xf>
    <xf numFmtId="0" fontId="7" fillId="0" borderId="20" xfId="0" applyFont="1" applyFill="1" applyBorder="1" applyAlignment="1">
      <alignment horizontal="left"/>
    </xf>
    <xf numFmtId="0" fontId="7" fillId="0" borderId="56" xfId="0" applyFont="1" applyFill="1" applyBorder="1" applyAlignment="1">
      <alignment horizontal="left"/>
    </xf>
    <xf numFmtId="0" fontId="7" fillId="0" borderId="21" xfId="0" applyFont="1" applyFill="1" applyBorder="1" applyAlignment="1">
      <alignment horizontal="left"/>
    </xf>
    <xf numFmtId="4" fontId="7" fillId="0" borderId="20" xfId="0" applyNumberFormat="1" applyFont="1" applyFill="1" applyBorder="1" applyAlignment="1">
      <alignment horizontal="right"/>
    </xf>
    <xf numFmtId="4" fontId="7" fillId="0" borderId="56" xfId="0" applyNumberFormat="1" applyFont="1" applyFill="1" applyBorder="1" applyAlignment="1">
      <alignment horizontal="right"/>
    </xf>
    <xf numFmtId="4" fontId="7" fillId="0" borderId="21" xfId="0" applyNumberFormat="1" applyFont="1" applyFill="1" applyBorder="1" applyAlignment="1">
      <alignment horizontal="right"/>
    </xf>
    <xf numFmtId="0" fontId="7" fillId="0" borderId="30" xfId="0" applyFont="1" applyFill="1" applyBorder="1" applyAlignment="1">
      <alignment horizontal="right"/>
    </xf>
    <xf numFmtId="0" fontId="8" fillId="6" borderId="20" xfId="0" applyFont="1" applyFill="1" applyBorder="1" applyAlignment="1">
      <alignment horizontal="left"/>
    </xf>
    <xf numFmtId="0" fontId="8" fillId="6" borderId="56" xfId="0" applyFont="1" applyFill="1" applyBorder="1" applyAlignment="1">
      <alignment horizontal="left"/>
    </xf>
    <xf numFmtId="0" fontId="8" fillId="6" borderId="21" xfId="0" applyFont="1" applyFill="1" applyBorder="1" applyAlignment="1">
      <alignment horizontal="left"/>
    </xf>
    <xf numFmtId="4" fontId="8" fillId="6" borderId="20" xfId="0" applyNumberFormat="1" applyFont="1" applyFill="1" applyBorder="1" applyAlignment="1">
      <alignment horizontal="right"/>
    </xf>
    <xf numFmtId="4" fontId="8" fillId="6" borderId="56" xfId="0" applyNumberFormat="1" applyFont="1" applyFill="1" applyBorder="1" applyAlignment="1">
      <alignment horizontal="right"/>
    </xf>
    <xf numFmtId="0" fontId="8" fillId="6" borderId="21" xfId="0" applyFont="1" applyFill="1" applyBorder="1" applyAlignment="1">
      <alignment horizontal="right"/>
    </xf>
    <xf numFmtId="0" fontId="7" fillId="0" borderId="39" xfId="0" applyFont="1" applyFill="1" applyBorder="1" applyAlignment="1">
      <alignment horizontal="left"/>
    </xf>
    <xf numFmtId="0" fontId="7" fillId="0" borderId="38" xfId="0" applyFont="1" applyFill="1" applyBorder="1" applyAlignment="1">
      <alignment horizontal="left"/>
    </xf>
    <xf numFmtId="0" fontId="7" fillId="0" borderId="69" xfId="0" applyFont="1" applyFill="1" applyBorder="1" applyAlignment="1">
      <alignment horizontal="left"/>
    </xf>
    <xf numFmtId="0" fontId="7" fillId="0" borderId="9" xfId="0" applyFont="1" applyFill="1" applyBorder="1" applyAlignment="1">
      <alignment horizontal="left"/>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62" xfId="0" applyFont="1" applyBorder="1" applyAlignment="1">
      <alignment horizontal="center"/>
    </xf>
    <xf numFmtId="0" fontId="8" fillId="0" borderId="68" xfId="0" applyFont="1" applyBorder="1" applyAlignment="1">
      <alignment horizontal="center"/>
    </xf>
    <xf numFmtId="0" fontId="8" fillId="0" borderId="65" xfId="0" applyFont="1" applyBorder="1" applyAlignment="1">
      <alignment horizontal="center"/>
    </xf>
    <xf numFmtId="0" fontId="8" fillId="0" borderId="23" xfId="0" applyFont="1" applyFill="1" applyBorder="1" applyAlignment="1">
      <alignment horizontal="left"/>
    </xf>
    <xf numFmtId="0" fontId="8" fillId="0" borderId="30" xfId="0" applyFont="1" applyFill="1" applyBorder="1" applyAlignment="1">
      <alignment horizontal="left"/>
    </xf>
    <xf numFmtId="0" fontId="7" fillId="0" borderId="73" xfId="0" applyFont="1" applyFill="1" applyBorder="1" applyAlignment="1">
      <alignment horizontal="right"/>
    </xf>
    <xf numFmtId="0" fontId="7" fillId="0" borderId="14" xfId="0" applyFont="1" applyFill="1" applyBorder="1" applyAlignment="1">
      <alignment horizontal="right"/>
    </xf>
    <xf numFmtId="0" fontId="7" fillId="0" borderId="58" xfId="0" applyFont="1" applyFill="1" applyBorder="1" applyAlignment="1">
      <alignment horizontal="right"/>
    </xf>
    <xf numFmtId="0" fontId="8" fillId="6" borderId="49" xfId="0" applyFont="1" applyFill="1" applyBorder="1" applyAlignment="1">
      <alignment horizontal="left"/>
    </xf>
    <xf numFmtId="4" fontId="7" fillId="0" borderId="69" xfId="0" applyNumberFormat="1" applyFont="1" applyFill="1" applyBorder="1" applyAlignment="1">
      <alignment horizontal="right"/>
    </xf>
    <xf numFmtId="0" fontId="27" fillId="0" borderId="0" xfId="4" applyAlignment="1">
      <alignment horizontal="center"/>
    </xf>
    <xf numFmtId="0" fontId="29" fillId="9" borderId="20" xfId="4" applyFont="1" applyFill="1" applyBorder="1" applyAlignment="1">
      <alignment horizontal="center"/>
    </xf>
    <xf numFmtId="0" fontId="29" fillId="9" borderId="56" xfId="4" applyFont="1" applyFill="1" applyBorder="1" applyAlignment="1">
      <alignment horizontal="center"/>
    </xf>
    <xf numFmtId="0" fontId="29" fillId="9" borderId="21" xfId="4" applyFont="1" applyFill="1" applyBorder="1" applyAlignment="1">
      <alignment horizontal="center"/>
    </xf>
    <xf numFmtId="0" fontId="27" fillId="0" borderId="22" xfId="4" applyBorder="1" applyAlignment="1">
      <alignment horizontal="center"/>
    </xf>
    <xf numFmtId="0" fontId="29" fillId="9" borderId="0" xfId="4" applyFont="1" applyFill="1" applyAlignment="1">
      <alignment horizontal="center"/>
    </xf>
    <xf numFmtId="0" fontId="27" fillId="0" borderId="0" xfId="4" applyFill="1" applyBorder="1" applyAlignment="1">
      <alignment horizontal="center"/>
    </xf>
    <xf numFmtId="0" fontId="27" fillId="0" borderId="0" xfId="4" applyBorder="1" applyAlignment="1">
      <alignment horizontal="center"/>
    </xf>
    <xf numFmtId="0" fontId="29" fillId="10" borderId="0" xfId="4" applyFont="1" applyFill="1" applyAlignment="1">
      <alignment horizontal="center"/>
    </xf>
    <xf numFmtId="0" fontId="27" fillId="0" borderId="22" xfId="4" applyFont="1" applyBorder="1" applyAlignment="1">
      <alignment horizontal="center"/>
    </xf>
    <xf numFmtId="0" fontId="44" fillId="11" borderId="0" xfId="4" applyFont="1" applyFill="1" applyAlignment="1">
      <alignment horizontal="center" vertical="justify"/>
    </xf>
    <xf numFmtId="0" fontId="29" fillId="5" borderId="0" xfId="4" applyFont="1" applyFill="1" applyAlignment="1">
      <alignment horizontal="center"/>
    </xf>
    <xf numFmtId="0" fontId="8" fillId="0" borderId="4" xfId="0" applyFont="1" applyBorder="1" applyAlignment="1">
      <alignment horizontal="center" vertical="center"/>
    </xf>
    <xf numFmtId="0" fontId="8" fillId="0" borderId="19" xfId="0" applyFont="1" applyFill="1" applyBorder="1" applyAlignment="1">
      <alignment horizontal="center"/>
    </xf>
    <xf numFmtId="0" fontId="8" fillId="0" borderId="11" xfId="0" applyFont="1" applyBorder="1" applyAlignment="1">
      <alignment horizontal="center" vertical="center"/>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4" fontId="7" fillId="0" borderId="4" xfId="0" applyNumberFormat="1" applyFont="1" applyBorder="1" applyAlignment="1">
      <alignment horizontal="center" vertical="center"/>
    </xf>
    <xf numFmtId="0" fontId="8" fillId="0" borderId="4" xfId="0" applyFont="1" applyBorder="1" applyAlignment="1">
      <alignment horizontal="center"/>
    </xf>
    <xf numFmtId="0" fontId="8" fillId="0" borderId="7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75" xfId="0" applyFont="1" applyBorder="1" applyAlignment="1">
      <alignment horizontal="center" wrapText="1"/>
    </xf>
    <xf numFmtId="0" fontId="8" fillId="0" borderId="4" xfId="0" applyFont="1" applyBorder="1" applyAlignment="1">
      <alignment horizontal="center" wrapText="1"/>
    </xf>
  </cellXfs>
  <cellStyles count="8">
    <cellStyle name="Moneda" xfId="1" builtinId="4"/>
    <cellStyle name="Moneda 2" xfId="6"/>
    <cellStyle name="Normal" xfId="0" builtinId="0"/>
    <cellStyle name="Normal 2" xfId="4"/>
    <cellStyle name="Normal 2 2" xfId="5"/>
    <cellStyle name="Normal 3" xfId="2"/>
    <cellStyle name="Normal 3 2" xfId="3"/>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590550</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695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47625</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695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47625</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695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28575</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7716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9525</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9525</xdr:colOff>
      <xdr:row>4</xdr:row>
      <xdr:rowOff>152400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62" t="28882" r="6717" b="49712"/>
        <a:stretch>
          <a:fillRect/>
        </a:stretch>
      </xdr:blipFill>
      <xdr:spPr bwMode="auto">
        <a:xfrm>
          <a:off x="0" y="9525"/>
          <a:ext cx="1695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752475</xdr:colOff>
      <xdr:row>3</xdr:row>
      <xdr:rowOff>95250</xdr:rowOff>
    </xdr:to>
    <xdr:pic>
      <xdr:nvPicPr>
        <xdr:cNvPr id="2" name="Imagen 1" descr="C:\Users\rosamaria.estrada\AppData\Local\Temp\Logo_SAF_H-0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52625" cy="6191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628650</xdr:colOff>
      <xdr:row>3</xdr:row>
      <xdr:rowOff>95250</xdr:rowOff>
    </xdr:to>
    <xdr:pic>
      <xdr:nvPicPr>
        <xdr:cNvPr id="2" name="Imagen 1" descr="C:\Users\rosamaria.estrada\AppData\Local\Temp\Logo_SAF_H-0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619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ANSELMO/Recaudacion%20Federal/PC%20PACO/Anselmo%20OK/Presupuesto%202018/CALCULO%20DEL%20COEFICIENTE%202018%20%20LYA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uarios/CP.LIBIA%20ESTRADA/Desktop/2020/factores%202020/formulas%20coeficiente%20202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uarios/CP.LIBIA%20ESTRADA/Downloads/ESTIMACION%20DE%20PARTICIPACIONES%202017%20POE%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CAUDACION%20FEDERAL/Presupuesto%202020/Publicacion/CALCULO%20DEL%20COEFICIENTE%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UARIO/ANSELMO/Recaudacion%20Federal/PC%20PACO/Anselmo%20OK/Presupuesto%202022/Distribuci&#243;n%20y%20Calendarizaci&#243;n%20para%20la%20Ministraci&#243;n%20durante%20el%20Ejercicio%20Fiscal%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UARIO/ANSELMO/Recaudacion%20Federal/PC%20PACO/Anselmo%20OK/Presupuesto%202019/CALCULO%20DEL%20COEFICIENTE%202019%20D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IO"/>
      <sheetName val="IEPS GyD coeficiente"/>
      <sheetName val="FOFIR 2018 coeficiente"/>
      <sheetName val="IEPS TyA (sin incremento"/>
      <sheetName val="FFM"/>
      <sheetName val="FFM coeficiente"/>
      <sheetName val="FGPcoeficientes desg"/>
      <sheetName val="FGPcoeficientes lia"/>
      <sheetName val="focoisan"/>
      <sheetName val="ISAN2018"/>
      <sheetName val="FOCOISAN1.1"/>
      <sheetName val="incentivo isan"/>
      <sheetName val="IEPS GyD"/>
      <sheetName val="FOFIR 2018"/>
      <sheetName val="FOCO2018"/>
      <sheetName val="FGP total2018"/>
      <sheetName val="FGP total2018 (2)"/>
      <sheetName val="FGP total2018 (3)"/>
      <sheetName val="LEY DE INGRESOS"/>
      <sheetName val="Datos"/>
      <sheetName val="Inicio"/>
      <sheetName val="1. Relleno"/>
      <sheetName val="2. Analizar"/>
      <sheetName val="3. Gráfico"/>
      <sheetName val="FGPmodificado"/>
      <sheetName val="FGP total"/>
      <sheetName val="FFM (3)"/>
      <sheetName val="FFM (2)"/>
      <sheetName val="FOFIR"/>
      <sheetName val="IEPS TyA (2)"/>
      <sheetName val="FOCOmodificado"/>
      <sheetName val="CENSO"/>
      <sheetName val="predial y agua"/>
      <sheetName val=" total"/>
      <sheetName val="ISAN  ok"/>
      <sheetName val="FOCO is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3">
          <cell r="I13">
            <v>976528016.10000002</v>
          </cell>
        </row>
        <row r="18">
          <cell r="K18">
            <v>279523846.57499999</v>
          </cell>
        </row>
        <row r="23">
          <cell r="K23">
            <v>432473544</v>
          </cell>
        </row>
        <row r="64">
          <cell r="K64">
            <v>36123142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total (2)"/>
      <sheetName val="FFM total (2)"/>
      <sheetName val="ISAN modificado"/>
      <sheetName val="gassimpl"/>
      <sheetName val="gasolina2020"/>
      <sheetName val="foco simpl"/>
      <sheetName val="FOCO2020"/>
      <sheetName val="IEPS"/>
      <sheetName val="IEPS TyA 2020"/>
      <sheetName val="FOFIR simpl"/>
      <sheetName val="FOFIR2020"/>
      <sheetName val="F.F.M. simplif"/>
      <sheetName val="FFM 2020"/>
      <sheetName val="FGP simpl"/>
      <sheetName val="fgp2020"/>
      <sheetName val="LEY DE INGRESOS"/>
      <sheetName val="Datos"/>
      <sheetName val="Inicio"/>
      <sheetName val="1. Relleno"/>
      <sheetName val="2. Analizar"/>
      <sheetName val="3. Gráfico"/>
      <sheetName val="FGP total"/>
      <sheetName val="FFM"/>
      <sheetName val="FOFIR"/>
      <sheetName val="publicacion ieps"/>
      <sheetName val="FOCOmodificado"/>
      <sheetName val="IEPS GyD"/>
      <sheetName val="CENSO"/>
      <sheetName val="convenio"/>
      <sheetName val="predial y agua"/>
      <sheetName val=" total"/>
      <sheetName val="ISAN  ok"/>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6">
          <cell r="E16">
            <v>0</v>
          </cell>
        </row>
      </sheetData>
      <sheetData sheetId="12"/>
      <sheetData sheetId="13">
        <row r="16">
          <cell r="C16">
            <v>3.6636711021849497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STO ESTATAL 2017"/>
      <sheetName val="ISANACUMULADO"/>
      <sheetName val="ISAN2017 FONDO"/>
      <sheetName val="ISAN2017"/>
      <sheetName val="F.G.P. (total)"/>
      <sheetName val="F.G.P.incremento"/>
      <sheetName val="F.G.P. 2014"/>
      <sheetName val="F.G.P 2017."/>
      <sheetName val="F.F.M.CONC"/>
      <sheetName val="F.F.M.70%"/>
      <sheetName val="F.F.M.30%"/>
      <sheetName val="F.F.M.100% 2014"/>
      <sheetName val="F.F.M.100% 2015 factr 14"/>
      <sheetName val="IEPS 2014 "/>
      <sheetName val="IEPS (incremento)"/>
      <sheetName val="IEPS tptal)"/>
      <sheetName val="IEPSGAS (total)"/>
      <sheetName val="IEPSGAS incremento"/>
      <sheetName val="IEPSGAS 2014  "/>
      <sheetName val="FOFIE"/>
      <sheetName val="FOFIE variacion"/>
      <sheetName val="FOFIE 2014 "/>
      <sheetName val="F.C 2017"/>
      <sheetName val=" INCREMENTO"/>
      <sheetName val=" fc 2014"/>
      <sheetName val="ISANYFCISAN public)"/>
      <sheetName val="ISANYFCISAN"/>
      <sheetName val="TENENCIAESTATAL"/>
      <sheetName val="CONCENTRADO"/>
      <sheetName val="CONCENTRADOBRUTO"/>
    </sheetNames>
    <sheetDataSet>
      <sheetData sheetId="0">
        <row r="52">
          <cell r="B52">
            <v>1521250.4468291907</v>
          </cell>
          <cell r="C52">
            <v>1992155.4322061262</v>
          </cell>
          <cell r="D52">
            <v>1561223.5204092669</v>
          </cell>
          <cell r="E52">
            <v>1709133.4840227321</v>
          </cell>
          <cell r="F52">
            <v>1794276.5472658337</v>
          </cell>
          <cell r="G52">
            <v>1664193.9164477964</v>
          </cell>
          <cell r="H52">
            <v>1722567.8942233375</v>
          </cell>
          <cell r="I52">
            <v>1774773.0179705636</v>
          </cell>
          <cell r="J52">
            <v>1814273.0193366187</v>
          </cell>
          <cell r="K52">
            <v>1772942.0603667807</v>
          </cell>
          <cell r="L52">
            <v>1696337.0334839264</v>
          </cell>
          <cell r="M52">
            <v>1676873.6274378267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IO 2020"/>
      <sheetName val="Consolidado"/>
      <sheetName val="FGP"/>
      <sheetName val="FFM"/>
      <sheetName val="FOCO"/>
      <sheetName val="IEPS TyA"/>
      <sheetName val="IEPS GyD "/>
      <sheetName val="FOFIR"/>
      <sheetName val="FOCO ISAN"/>
      <sheetName val="Incentivo ISAN"/>
      <sheetName val="Predial y Agua"/>
      <sheetName val="CENSO 2015"/>
      <sheetName val="IEPS 2014 "/>
      <sheetName val="F.G.P. 2020"/>
      <sheetName val="F.F.M.2020"/>
      <sheetName val="FOCO 2020"/>
      <sheetName val="IEPS2020"/>
      <sheetName val="IEPSGAS 2020"/>
      <sheetName val="FOFIR 2020"/>
      <sheetName val="FOCO ISAN "/>
      <sheetName val="ISAN Recaudacion"/>
      <sheetName val=" FOCO INCREMENTO"/>
      <sheetName val=" FOCO ESTIMACION"/>
      <sheetName val="FOFIR  INCREMENTO"/>
      <sheetName val="FFOR ESTIMACIONES"/>
      <sheetName val="IEPSGASINCREMENTO"/>
      <sheetName val="IEPSGAS ESTIMACIONES"/>
      <sheetName val="IEPS INCREMENTO"/>
      <sheetName val="IEPS ESTIMACIONES"/>
      <sheetName val="F.F.M30%"/>
      <sheetName val="F.F.M.70%"/>
      <sheetName val="F.F.M.ESTIIMACIONES 2014"/>
      <sheetName val="F.G.P.INCREMENTO"/>
      <sheetName val="F.G.P. ESTIMACIONES 2014"/>
      <sheetName val="Datos"/>
      <sheetName val="FGP 30%"/>
      <sheetName val="FGP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C7">
            <v>71921.637981858948</v>
          </cell>
        </row>
      </sheetData>
      <sheetData sheetId="22">
        <row r="7">
          <cell r="C7">
            <v>221149.74295927721</v>
          </cell>
        </row>
      </sheetData>
      <sheetData sheetId="23">
        <row r="7">
          <cell r="C7">
            <v>11802.679292037985</v>
          </cell>
          <cell r="D7">
            <v>1333.2292221198138</v>
          </cell>
          <cell r="E7">
            <v>1333.2292221198138</v>
          </cell>
          <cell r="F7">
            <v>18204.517099508423</v>
          </cell>
          <cell r="G7">
            <v>1333.2292221198138</v>
          </cell>
          <cell r="H7">
            <v>1333.2292221198138</v>
          </cell>
          <cell r="I7">
            <v>15264.771092395671</v>
          </cell>
          <cell r="J7">
            <v>1333.2292221198127</v>
          </cell>
          <cell r="K7">
            <v>1333.2292221198127</v>
          </cell>
          <cell r="L7">
            <v>13985.991384813668</v>
          </cell>
          <cell r="M7">
            <v>1333.2292221198115</v>
          </cell>
          <cell r="N7">
            <v>1333.2292221198115</v>
          </cell>
        </row>
        <row r="8">
          <cell r="C8">
            <v>2925.5296800196288</v>
          </cell>
          <cell r="D8">
            <v>330.46747802528074</v>
          </cell>
          <cell r="E8">
            <v>330.46747802528074</v>
          </cell>
          <cell r="F8">
            <v>4512.3529808154808</v>
          </cell>
          <cell r="G8">
            <v>330.46747802528074</v>
          </cell>
          <cell r="H8">
            <v>330.46747802528074</v>
          </cell>
          <cell r="I8">
            <v>3783.6782466532745</v>
          </cell>
          <cell r="J8">
            <v>330.46747802528034</v>
          </cell>
          <cell r="K8">
            <v>330.46747802528034</v>
          </cell>
          <cell r="L8">
            <v>3466.7071677846229</v>
          </cell>
          <cell r="M8">
            <v>330.46747802528006</v>
          </cell>
          <cell r="N8">
            <v>330.46747802528006</v>
          </cell>
        </row>
        <row r="9">
          <cell r="C9">
            <v>1106.3412555767009</v>
          </cell>
          <cell r="D9">
            <v>124.97217412038073</v>
          </cell>
          <cell r="E9">
            <v>124.97217412038073</v>
          </cell>
          <cell r="F9">
            <v>1706.4268041769351</v>
          </cell>
          <cell r="G9">
            <v>124.97217412038073</v>
          </cell>
          <cell r="H9">
            <v>124.97217412038073</v>
          </cell>
          <cell r="I9">
            <v>1430.8654500037569</v>
          </cell>
          <cell r="J9">
            <v>124.97217412038063</v>
          </cell>
          <cell r="K9">
            <v>124.97217412038063</v>
          </cell>
          <cell r="L9">
            <v>1310.9971800723122</v>
          </cell>
          <cell r="M9">
            <v>124.9721741203805</v>
          </cell>
          <cell r="N9">
            <v>124.9721741203805</v>
          </cell>
        </row>
        <row r="10">
          <cell r="C10">
            <v>1244975.8797058584</v>
          </cell>
          <cell r="D10">
            <v>140632.32445686206</v>
          </cell>
          <cell r="E10">
            <v>140632.32445686206</v>
          </cell>
          <cell r="F10">
            <v>1920257.6067512033</v>
          </cell>
          <cell r="G10">
            <v>140632.32445686206</v>
          </cell>
          <cell r="H10">
            <v>140632.32445686206</v>
          </cell>
          <cell r="I10">
            <v>1610165.9080141254</v>
          </cell>
          <cell r="J10">
            <v>140632.32445686191</v>
          </cell>
          <cell r="K10">
            <v>140632.32445686191</v>
          </cell>
          <cell r="L10">
            <v>1475277.0533732229</v>
          </cell>
          <cell r="M10">
            <v>140632.3244568618</v>
          </cell>
          <cell r="N10">
            <v>140632.3244568618</v>
          </cell>
        </row>
        <row r="11">
          <cell r="C11">
            <v>55699.534132124987</v>
          </cell>
          <cell r="D11">
            <v>6291.8126237238803</v>
          </cell>
          <cell r="E11">
            <v>6291.8126237238803</v>
          </cell>
          <cell r="F11">
            <v>85911.266116241008</v>
          </cell>
          <cell r="G11">
            <v>6291.8126237238803</v>
          </cell>
          <cell r="H11">
            <v>6291.8126237238803</v>
          </cell>
          <cell r="I11">
            <v>72037.934560632741</v>
          </cell>
          <cell r="J11">
            <v>6291.8126237238748</v>
          </cell>
          <cell r="K11">
            <v>6291.8126237238748</v>
          </cell>
          <cell r="L11">
            <v>66003.081608389752</v>
          </cell>
          <cell r="M11">
            <v>6291.8126237238675</v>
          </cell>
          <cell r="N11">
            <v>6291.8126237238675</v>
          </cell>
        </row>
        <row r="12">
          <cell r="C12">
            <v>138.9651749087565</v>
          </cell>
          <cell r="D12">
            <v>15.697489312475769</v>
          </cell>
          <cell r="E12">
            <v>15.697489312475769</v>
          </cell>
          <cell r="F12">
            <v>214.34064590480065</v>
          </cell>
          <cell r="G12">
            <v>15.697489312475769</v>
          </cell>
          <cell r="H12">
            <v>15.697489312475769</v>
          </cell>
          <cell r="I12">
            <v>179.7279695829651</v>
          </cell>
          <cell r="J12">
            <v>15.697489312475755</v>
          </cell>
          <cell r="K12">
            <v>15.697489312475755</v>
          </cell>
          <cell r="L12">
            <v>164.67157083342175</v>
          </cell>
          <cell r="M12">
            <v>15.697489312475739</v>
          </cell>
          <cell r="N12">
            <v>15.697489312475739</v>
          </cell>
        </row>
        <row r="13">
          <cell r="C13">
            <v>32.849495233388772</v>
          </cell>
          <cell r="D13">
            <v>3.7106749995811463</v>
          </cell>
          <cell r="E13">
            <v>3.7106749995811463</v>
          </cell>
          <cell r="F13">
            <v>50.667241131414954</v>
          </cell>
          <cell r="G13">
            <v>3.7106749995811463</v>
          </cell>
          <cell r="H13">
            <v>3.7106749995811463</v>
          </cell>
          <cell r="I13">
            <v>42.485270744981669</v>
          </cell>
          <cell r="J13">
            <v>3.7106749995811428</v>
          </cell>
          <cell r="K13">
            <v>3.7106749995811428</v>
          </cell>
          <cell r="L13">
            <v>38.926140917815466</v>
          </cell>
          <cell r="M13">
            <v>3.7106749995811397</v>
          </cell>
          <cell r="N13">
            <v>3.7106749995811397</v>
          </cell>
        </row>
        <row r="14">
          <cell r="C14">
            <v>9699.6117410109109</v>
          </cell>
          <cell r="D14">
            <v>1095.6669664875083</v>
          </cell>
          <cell r="E14">
            <v>1095.6669664875083</v>
          </cell>
          <cell r="F14">
            <v>14960.734205236215</v>
          </cell>
          <cell r="G14">
            <v>1095.6669664875083</v>
          </cell>
          <cell r="H14">
            <v>1095.6669664875083</v>
          </cell>
          <cell r="I14">
            <v>12544.808619135061</v>
          </cell>
          <cell r="J14">
            <v>1095.6669664875074</v>
          </cell>
          <cell r="K14">
            <v>1095.6669664875074</v>
          </cell>
          <cell r="L14">
            <v>11493.889047492006</v>
          </cell>
          <cell r="M14">
            <v>1095.6669664875062</v>
          </cell>
          <cell r="N14">
            <v>1095.6669664875062</v>
          </cell>
        </row>
        <row r="15">
          <cell r="C15">
            <v>1794.2560512298369</v>
          </cell>
          <cell r="D15">
            <v>202.67894604902614</v>
          </cell>
          <cell r="E15">
            <v>202.67894604902614</v>
          </cell>
          <cell r="F15">
            <v>2767.4703478170991</v>
          </cell>
          <cell r="G15">
            <v>202.67894604902614</v>
          </cell>
          <cell r="H15">
            <v>202.67894604902614</v>
          </cell>
          <cell r="I15">
            <v>2320.5669852984665</v>
          </cell>
          <cell r="J15">
            <v>202.67894604902594</v>
          </cell>
          <cell r="K15">
            <v>202.67894604902594</v>
          </cell>
          <cell r="L15">
            <v>2126.1655132473907</v>
          </cell>
          <cell r="M15">
            <v>202.67894604902577</v>
          </cell>
          <cell r="N15">
            <v>202.67894604902577</v>
          </cell>
        </row>
        <row r="16">
          <cell r="C16">
            <v>956.44082925869373</v>
          </cell>
          <cell r="D16">
            <v>108.03944013427608</v>
          </cell>
          <cell r="E16">
            <v>108.03944013427608</v>
          </cell>
          <cell r="F16">
            <v>1475.2195666837808</v>
          </cell>
          <cell r="G16">
            <v>108.03944013427608</v>
          </cell>
          <cell r="H16">
            <v>108.03944013427608</v>
          </cell>
          <cell r="I16">
            <v>1236.9945807054185</v>
          </cell>
          <cell r="J16">
            <v>108.03944013427599</v>
          </cell>
          <cell r="K16">
            <v>108.03944013427599</v>
          </cell>
          <cell r="L16">
            <v>1133.3675064033994</v>
          </cell>
          <cell r="M16">
            <v>108.03944013427588</v>
          </cell>
          <cell r="N16">
            <v>108.03944013427588</v>
          </cell>
        </row>
        <row r="17">
          <cell r="C17">
            <v>2237.4399203439448</v>
          </cell>
          <cell r="D17">
            <v>252.74094218185729</v>
          </cell>
          <cell r="E17">
            <v>252.74094218185729</v>
          </cell>
          <cell r="F17">
            <v>3451.0395717099036</v>
          </cell>
          <cell r="G17">
            <v>252.74094218185729</v>
          </cell>
          <cell r="H17">
            <v>252.74094218185729</v>
          </cell>
          <cell r="I17">
            <v>2893.7504249631193</v>
          </cell>
          <cell r="J17">
            <v>252.74094218185704</v>
          </cell>
          <cell r="K17">
            <v>252.74094218185704</v>
          </cell>
          <cell r="L17">
            <v>2651.3315049641765</v>
          </cell>
          <cell r="M17">
            <v>252.74094218185678</v>
          </cell>
          <cell r="N17">
            <v>252.74094218185678</v>
          </cell>
        </row>
        <row r="18">
          <cell r="C18">
            <v>1882.0442495433008</v>
          </cell>
          <cell r="D18">
            <v>212.59549028891877</v>
          </cell>
          <cell r="E18">
            <v>212.59549028891877</v>
          </cell>
          <cell r="F18">
            <v>2902.8753450884037</v>
          </cell>
          <cell r="G18">
            <v>212.59549028891877</v>
          </cell>
          <cell r="H18">
            <v>212.59549028891877</v>
          </cell>
          <cell r="I18">
            <v>2434.1061842134841</v>
          </cell>
          <cell r="J18">
            <v>212.59549028891854</v>
          </cell>
          <cell r="K18">
            <v>212.59549028891854</v>
          </cell>
          <cell r="L18">
            <v>2230.1931628107141</v>
          </cell>
          <cell r="M18">
            <v>212.59549028891837</v>
          </cell>
          <cell r="N18">
            <v>212.59549028891837</v>
          </cell>
        </row>
        <row r="19">
          <cell r="C19">
            <v>8275.3171154588399</v>
          </cell>
          <cell r="D19">
            <v>934.77881823669441</v>
          </cell>
          <cell r="E19">
            <v>934.77881823669441</v>
          </cell>
          <cell r="F19">
            <v>12763.894384036301</v>
          </cell>
          <cell r="G19">
            <v>934.77881823669441</v>
          </cell>
          <cell r="H19">
            <v>934.77881823669441</v>
          </cell>
          <cell r="I19">
            <v>10702.724217007106</v>
          </cell>
          <cell r="J19">
            <v>934.7788182366935</v>
          </cell>
          <cell r="K19">
            <v>934.7788182366935</v>
          </cell>
          <cell r="L19">
            <v>9806.1220693749547</v>
          </cell>
          <cell r="M19">
            <v>934.77881823669259</v>
          </cell>
          <cell r="N19">
            <v>934.77881823669259</v>
          </cell>
        </row>
        <row r="20">
          <cell r="C20">
            <v>385.57696469017583</v>
          </cell>
          <cell r="D20">
            <v>43.554727192154196</v>
          </cell>
          <cell r="E20">
            <v>43.554727192154196</v>
          </cell>
          <cell r="F20">
            <v>594.71601940535652</v>
          </cell>
          <cell r="G20">
            <v>43.554727192154196</v>
          </cell>
          <cell r="H20">
            <v>43.554727192154196</v>
          </cell>
          <cell r="I20">
            <v>498.67864396406583</v>
          </cell>
          <cell r="J20">
            <v>43.554727192154161</v>
          </cell>
          <cell r="K20">
            <v>43.554727192154161</v>
          </cell>
          <cell r="L20">
            <v>456.90270597941856</v>
          </cell>
          <cell r="M20">
            <v>43.554727192154111</v>
          </cell>
          <cell r="N20">
            <v>43.554727192154111</v>
          </cell>
        </row>
        <row r="21">
          <cell r="C21">
            <v>3033.5262229373875</v>
          </cell>
          <cell r="D21">
            <v>342.66675442203945</v>
          </cell>
          <cell r="E21">
            <v>342.66675442203945</v>
          </cell>
          <cell r="F21">
            <v>4678.9274393420628</v>
          </cell>
          <cell r="G21">
            <v>342.66675442203945</v>
          </cell>
          <cell r="H21">
            <v>342.66675442203945</v>
          </cell>
          <cell r="I21">
            <v>3923.3535242423018</v>
          </cell>
          <cell r="J21">
            <v>342.66675442203916</v>
          </cell>
          <cell r="K21">
            <v>342.66675442203916</v>
          </cell>
          <cell r="L21">
            <v>3594.6813913879332</v>
          </cell>
          <cell r="M21">
            <v>342.66675442203882</v>
          </cell>
          <cell r="N21">
            <v>342.66675442203882</v>
          </cell>
        </row>
        <row r="22">
          <cell r="C22">
            <v>44777.055096520409</v>
          </cell>
          <cell r="D22">
            <v>5058.0107158738028</v>
          </cell>
          <cell r="E22">
            <v>5058.0107158738028</v>
          </cell>
          <cell r="F22">
            <v>69064.374706862378</v>
          </cell>
          <cell r="G22">
            <v>5058.0107158738028</v>
          </cell>
          <cell r="H22">
            <v>5058.0107158738028</v>
          </cell>
          <cell r="I22">
            <v>57911.553752126914</v>
          </cell>
          <cell r="J22">
            <v>5058.0107158737983</v>
          </cell>
          <cell r="K22">
            <v>5058.0107158737983</v>
          </cell>
          <cell r="L22">
            <v>53060.113837010453</v>
          </cell>
          <cell r="M22">
            <v>5058.0107158737928</v>
          </cell>
          <cell r="N22">
            <v>5058.0107158737928</v>
          </cell>
        </row>
        <row r="23">
          <cell r="C23">
            <v>4866.0556540996013</v>
          </cell>
          <cell r="D23">
            <v>549.66905682876666</v>
          </cell>
          <cell r="E23">
            <v>549.66905682876666</v>
          </cell>
          <cell r="F23">
            <v>7505.4308577184011</v>
          </cell>
          <cell r="G23">
            <v>549.66905682876666</v>
          </cell>
          <cell r="H23">
            <v>549.66905682876666</v>
          </cell>
          <cell r="I23">
            <v>6293.4206585445754</v>
          </cell>
          <cell r="J23">
            <v>549.6690568287662</v>
          </cell>
          <cell r="K23">
            <v>549.6690568287662</v>
          </cell>
          <cell r="L23">
            <v>5766.200264559543</v>
          </cell>
          <cell r="M23">
            <v>549.66905682876563</v>
          </cell>
          <cell r="N23">
            <v>549.66905682876563</v>
          </cell>
        </row>
        <row r="24">
          <cell r="C24">
            <v>2915992.3911505365</v>
          </cell>
          <cell r="D24">
            <v>329390.14703072852</v>
          </cell>
          <cell r="E24">
            <v>329390.14703072852</v>
          </cell>
          <cell r="F24">
            <v>4497642.6142957816</v>
          </cell>
          <cell r="G24">
            <v>329390.14703072852</v>
          </cell>
          <cell r="H24">
            <v>329390.14703072852</v>
          </cell>
          <cell r="I24">
            <v>3771343.3752375138</v>
          </cell>
          <cell r="J24">
            <v>329390.14703072817</v>
          </cell>
          <cell r="K24">
            <v>329390.14703072817</v>
          </cell>
          <cell r="L24">
            <v>3455405.6288156207</v>
          </cell>
          <cell r="M24">
            <v>329390.14703072788</v>
          </cell>
          <cell r="N24">
            <v>329390.14703072788</v>
          </cell>
        </row>
        <row r="25">
          <cell r="C25">
            <v>2249.6874019223055</v>
          </cell>
          <cell r="D25">
            <v>254.12441621632158</v>
          </cell>
          <cell r="E25">
            <v>254.12441621632158</v>
          </cell>
          <cell r="F25">
            <v>3469.9301542888597</v>
          </cell>
          <cell r="G25">
            <v>254.12441621632158</v>
          </cell>
          <cell r="H25">
            <v>254.12441621632158</v>
          </cell>
          <cell r="I25">
            <v>2909.5904726443368</v>
          </cell>
          <cell r="J25">
            <v>254.12441621632132</v>
          </cell>
          <cell r="K25">
            <v>254.12441621632132</v>
          </cell>
          <cell r="L25">
            <v>2665.8445801399271</v>
          </cell>
          <cell r="M25">
            <v>254.12441621632112</v>
          </cell>
          <cell r="N25">
            <v>254.12441621632112</v>
          </cell>
        </row>
        <row r="26">
          <cell r="C26">
            <v>61269.338825918327</v>
          </cell>
          <cell r="D26">
            <v>6920.9770867687066</v>
          </cell>
          <cell r="E26">
            <v>6920.9770867687066</v>
          </cell>
          <cell r="F26">
            <v>94502.16334221953</v>
          </cell>
          <cell r="G26">
            <v>6920.9770867687066</v>
          </cell>
          <cell r="H26">
            <v>6920.9770867687066</v>
          </cell>
          <cell r="I26">
            <v>79241.535673259888</v>
          </cell>
          <cell r="J26">
            <v>6920.9770867687012</v>
          </cell>
          <cell r="K26">
            <v>6920.9770867687012</v>
          </cell>
          <cell r="L26">
            <v>72603.21353903017</v>
          </cell>
          <cell r="M26">
            <v>6920.9770867686939</v>
          </cell>
          <cell r="N26">
            <v>6920.9770867686939</v>
          </cell>
        </row>
      </sheetData>
      <sheetData sheetId="24">
        <row r="7">
          <cell r="C7">
            <v>154257.12253206508</v>
          </cell>
          <cell r="D7">
            <v>120162.95703191035</v>
          </cell>
          <cell r="E7">
            <v>120162.95703191035</v>
          </cell>
          <cell r="F7">
            <v>181543.94365766429</v>
          </cell>
          <cell r="G7">
            <v>120162.95703191035</v>
          </cell>
          <cell r="H7">
            <v>120162.95703191035</v>
          </cell>
          <cell r="I7">
            <v>152643.60360410286</v>
          </cell>
          <cell r="J7">
            <v>120162.95703191037</v>
          </cell>
          <cell r="K7">
            <v>120162.95703191037</v>
          </cell>
          <cell r="L7">
            <v>159154.33645088488</v>
          </cell>
          <cell r="M7">
            <v>120162.9570319104</v>
          </cell>
          <cell r="N7">
            <v>120162.9570319104</v>
          </cell>
        </row>
        <row r="8">
          <cell r="C8">
            <v>62970.715773363561</v>
          </cell>
          <cell r="D8">
            <v>49052.82355549217</v>
          </cell>
          <cell r="E8">
            <v>49052.82355549217</v>
          </cell>
          <cell r="F8">
            <v>74109.719465731454</v>
          </cell>
          <cell r="G8">
            <v>49052.82355549217</v>
          </cell>
          <cell r="H8">
            <v>49052.82355549217</v>
          </cell>
          <cell r="I8">
            <v>62312.046402770757</v>
          </cell>
          <cell r="J8">
            <v>49052.823555492178</v>
          </cell>
          <cell r="K8">
            <v>49052.823555492178</v>
          </cell>
          <cell r="L8">
            <v>64969.852414196837</v>
          </cell>
          <cell r="M8">
            <v>49052.823555492192</v>
          </cell>
          <cell r="N8">
            <v>49052.823555492192</v>
          </cell>
        </row>
        <row r="9">
          <cell r="C9">
            <v>46065.825632863278</v>
          </cell>
          <cell r="D9">
            <v>35884.280319118436</v>
          </cell>
          <cell r="E9">
            <v>35884.280319118436</v>
          </cell>
          <cell r="F9">
            <v>54214.492763521666</v>
          </cell>
          <cell r="G9">
            <v>35884.280319118436</v>
          </cell>
          <cell r="H9">
            <v>35884.280319118436</v>
          </cell>
          <cell r="I9">
            <v>45583.980254375922</v>
          </cell>
          <cell r="J9">
            <v>35884.280319118443</v>
          </cell>
          <cell r="K9">
            <v>35884.280319118443</v>
          </cell>
          <cell r="L9">
            <v>47528.281296291651</v>
          </cell>
          <cell r="M9">
            <v>35884.28031911845</v>
          </cell>
          <cell r="N9">
            <v>35884.28031911845</v>
          </cell>
        </row>
        <row r="10">
          <cell r="C10">
            <v>372752.82759803126</v>
          </cell>
          <cell r="D10">
            <v>290366.37836204091</v>
          </cell>
          <cell r="E10">
            <v>290366.37836204091</v>
          </cell>
          <cell r="F10">
            <v>438689.74878372578</v>
          </cell>
          <cell r="G10">
            <v>290366.37836204091</v>
          </cell>
          <cell r="H10">
            <v>290366.37836204091</v>
          </cell>
          <cell r="I10">
            <v>368853.85857210611</v>
          </cell>
          <cell r="J10">
            <v>290366.37836204097</v>
          </cell>
          <cell r="K10">
            <v>290366.37836204097</v>
          </cell>
          <cell r="L10">
            <v>384586.6431498095</v>
          </cell>
          <cell r="M10">
            <v>290366.37836204102</v>
          </cell>
          <cell r="N10">
            <v>290366.37836204102</v>
          </cell>
        </row>
        <row r="11">
          <cell r="C11">
            <v>280198.55407879222</v>
          </cell>
          <cell r="D11">
            <v>218268.60414289468</v>
          </cell>
          <cell r="E11">
            <v>218268.60414289468</v>
          </cell>
          <cell r="F11">
            <v>329763.38258912717</v>
          </cell>
          <cell r="G11">
            <v>218268.60414289468</v>
          </cell>
          <cell r="H11">
            <v>218268.60414289468</v>
          </cell>
          <cell r="I11">
            <v>277267.69640964438</v>
          </cell>
          <cell r="J11">
            <v>218268.60414289474</v>
          </cell>
          <cell r="K11">
            <v>218268.60414289474</v>
          </cell>
          <cell r="L11">
            <v>289094.04127927852</v>
          </cell>
          <cell r="M11">
            <v>218268.60414289479</v>
          </cell>
          <cell r="N11">
            <v>218268.60414289479</v>
          </cell>
        </row>
        <row r="12">
          <cell r="C12">
            <v>136084.36563102729</v>
          </cell>
          <cell r="D12">
            <v>106006.77305280858</v>
          </cell>
          <cell r="E12">
            <v>106006.77305280858</v>
          </cell>
          <cell r="F12">
            <v>160156.57495278877</v>
          </cell>
          <cell r="G12">
            <v>106006.77305280858</v>
          </cell>
          <cell r="H12">
            <v>106006.77305280858</v>
          </cell>
          <cell r="I12">
            <v>134660.93249457842</v>
          </cell>
          <cell r="J12">
            <v>106006.7730528086</v>
          </cell>
          <cell r="K12">
            <v>106006.7730528086</v>
          </cell>
          <cell r="L12">
            <v>140404.6474991368</v>
          </cell>
          <cell r="M12">
            <v>106006.77305280862</v>
          </cell>
          <cell r="N12">
            <v>106006.77305280862</v>
          </cell>
        </row>
        <row r="13">
          <cell r="C13">
            <v>46911.070139888296</v>
          </cell>
          <cell r="D13">
            <v>36542.707480937126</v>
          </cell>
          <cell r="E13">
            <v>36542.707480937126</v>
          </cell>
          <cell r="F13">
            <v>55209.254098632155</v>
          </cell>
          <cell r="G13">
            <v>36542.707480937126</v>
          </cell>
          <cell r="H13">
            <v>36542.707480937126</v>
          </cell>
          <cell r="I13">
            <v>46420.383561795665</v>
          </cell>
          <cell r="J13">
            <v>36542.707480937126</v>
          </cell>
          <cell r="K13">
            <v>36542.707480937126</v>
          </cell>
          <cell r="L13">
            <v>48400.359852186913</v>
          </cell>
          <cell r="M13">
            <v>36542.707480937141</v>
          </cell>
          <cell r="N13">
            <v>36542.707480937141</v>
          </cell>
        </row>
        <row r="14">
          <cell r="C14">
            <v>114530.63070188943</v>
          </cell>
          <cell r="D14">
            <v>89216.880426432064</v>
          </cell>
          <cell r="E14">
            <v>89216.880426432064</v>
          </cell>
          <cell r="F14">
            <v>134790.16090747129</v>
          </cell>
          <cell r="G14">
            <v>89216.880426432064</v>
          </cell>
          <cell r="H14">
            <v>89216.880426432064</v>
          </cell>
          <cell r="I14">
            <v>113332.64815537501</v>
          </cell>
          <cell r="J14">
            <v>89216.880426432079</v>
          </cell>
          <cell r="K14">
            <v>89216.880426432079</v>
          </cell>
          <cell r="L14">
            <v>118166.64432380768</v>
          </cell>
          <cell r="M14">
            <v>89216.880426432108</v>
          </cell>
          <cell r="N14">
            <v>89216.880426432108</v>
          </cell>
        </row>
        <row r="15">
          <cell r="C15">
            <v>71423.160843613703</v>
          </cell>
          <cell r="D15">
            <v>55637.095173679038</v>
          </cell>
          <cell r="E15">
            <v>55637.095173679038</v>
          </cell>
          <cell r="F15">
            <v>84057.332816836337</v>
          </cell>
          <cell r="G15">
            <v>55637.095173679038</v>
          </cell>
          <cell r="H15">
            <v>55637.095173679038</v>
          </cell>
          <cell r="I15">
            <v>70676.079476968167</v>
          </cell>
          <cell r="J15">
            <v>55637.095173679045</v>
          </cell>
          <cell r="K15">
            <v>55637.095173679045</v>
          </cell>
          <cell r="L15">
            <v>73690.637973149423</v>
          </cell>
          <cell r="M15">
            <v>55637.095173679059</v>
          </cell>
          <cell r="N15">
            <v>55637.095173679059</v>
          </cell>
        </row>
        <row r="16">
          <cell r="C16">
            <v>53673.026196088402</v>
          </cell>
          <cell r="D16">
            <v>41810.124775486613</v>
          </cell>
          <cell r="E16">
            <v>41810.124775486613</v>
          </cell>
          <cell r="F16">
            <v>63167.344779516068</v>
          </cell>
          <cell r="G16">
            <v>41810.124775486613</v>
          </cell>
          <cell r="H16">
            <v>41810.124775486613</v>
          </cell>
          <cell r="I16">
            <v>53111.610021153596</v>
          </cell>
          <cell r="J16">
            <v>41810.12477548662</v>
          </cell>
          <cell r="K16">
            <v>41810.12477548662</v>
          </cell>
          <cell r="L16">
            <v>55376.988299348981</v>
          </cell>
          <cell r="M16">
            <v>41810.124775486634</v>
          </cell>
          <cell r="N16">
            <v>41810.124775486634</v>
          </cell>
        </row>
        <row r="17">
          <cell r="C17">
            <v>143268.9439407399</v>
          </cell>
          <cell r="D17">
            <v>111603.40392826742</v>
          </cell>
          <cell r="E17">
            <v>111603.40392826742</v>
          </cell>
          <cell r="F17">
            <v>168612.04630122794</v>
          </cell>
          <cell r="G17">
            <v>111603.40392826742</v>
          </cell>
          <cell r="H17">
            <v>111603.40392826742</v>
          </cell>
          <cell r="I17">
            <v>141770.36060764623</v>
          </cell>
          <cell r="J17">
            <v>111603.40392826743</v>
          </cell>
          <cell r="K17">
            <v>111603.40392826743</v>
          </cell>
          <cell r="L17">
            <v>147817.3152242465</v>
          </cell>
          <cell r="M17">
            <v>111603.40392826746</v>
          </cell>
          <cell r="N17">
            <v>111603.40392826746</v>
          </cell>
        </row>
        <row r="18">
          <cell r="C18">
            <v>93399.518026264079</v>
          </cell>
          <cell r="D18">
            <v>72756.201380964907</v>
          </cell>
          <cell r="E18">
            <v>72756.201380964907</v>
          </cell>
          <cell r="F18">
            <v>109921.12752970908</v>
          </cell>
          <cell r="G18">
            <v>72756.201380964907</v>
          </cell>
          <cell r="H18">
            <v>72756.201380964907</v>
          </cell>
          <cell r="I18">
            <v>92422.565469881461</v>
          </cell>
          <cell r="J18">
            <v>72756.201380964922</v>
          </cell>
          <cell r="K18">
            <v>72756.201380964922</v>
          </cell>
          <cell r="L18">
            <v>96364.680426426188</v>
          </cell>
          <cell r="M18">
            <v>72756.201380964936</v>
          </cell>
          <cell r="N18">
            <v>72756.201380964936</v>
          </cell>
        </row>
        <row r="19">
          <cell r="C19">
            <v>166935.79013744032</v>
          </cell>
          <cell r="D19">
            <v>130039.36445919066</v>
          </cell>
          <cell r="E19">
            <v>130039.36445919066</v>
          </cell>
          <cell r="F19">
            <v>196465.36368432164</v>
          </cell>
          <cell r="G19">
            <v>130039.36445919066</v>
          </cell>
          <cell r="H19">
            <v>130039.36445919066</v>
          </cell>
          <cell r="I19">
            <v>165189.65321539898</v>
          </cell>
          <cell r="J19">
            <v>130039.36445919068</v>
          </cell>
          <cell r="K19">
            <v>130039.36445919068</v>
          </cell>
          <cell r="L19">
            <v>172235.51478931378</v>
          </cell>
          <cell r="M19">
            <v>130039.36445919071</v>
          </cell>
          <cell r="N19">
            <v>130039.36445919071</v>
          </cell>
        </row>
        <row r="20">
          <cell r="C20">
            <v>31696.669013438033</v>
          </cell>
          <cell r="D20">
            <v>24691.018568200758</v>
          </cell>
          <cell r="E20">
            <v>24691.018568200758</v>
          </cell>
          <cell r="F20">
            <v>37303.550066643344</v>
          </cell>
          <cell r="G20">
            <v>24691.018568200758</v>
          </cell>
          <cell r="H20">
            <v>24691.018568200758</v>
          </cell>
          <cell r="I20">
            <v>31365.124028240312</v>
          </cell>
          <cell r="J20">
            <v>24691.018568200761</v>
          </cell>
          <cell r="K20">
            <v>24691.018568200761</v>
          </cell>
          <cell r="L20">
            <v>32702.945846072234</v>
          </cell>
          <cell r="M20">
            <v>24691.018568200769</v>
          </cell>
          <cell r="N20">
            <v>24691.018568200769</v>
          </cell>
        </row>
        <row r="21">
          <cell r="C21">
            <v>96357.873800851623</v>
          </cell>
          <cell r="D21">
            <v>75060.696447330309</v>
          </cell>
          <cell r="E21">
            <v>75060.696447330309</v>
          </cell>
          <cell r="F21">
            <v>113402.79220259578</v>
          </cell>
          <cell r="G21">
            <v>75060.696447330309</v>
          </cell>
          <cell r="H21">
            <v>75060.696447330309</v>
          </cell>
          <cell r="I21">
            <v>95349.977045850552</v>
          </cell>
          <cell r="J21">
            <v>75060.696447330323</v>
          </cell>
          <cell r="K21">
            <v>75060.696447330323</v>
          </cell>
          <cell r="L21">
            <v>99416.955372059601</v>
          </cell>
          <cell r="M21">
            <v>75060.696447330338</v>
          </cell>
          <cell r="N21">
            <v>75060.696447330338</v>
          </cell>
        </row>
        <row r="22">
          <cell r="C22">
            <v>375288.56111910637</v>
          </cell>
          <cell r="D22">
            <v>292341.65984749701</v>
          </cell>
          <cell r="E22">
            <v>292341.65984749701</v>
          </cell>
          <cell r="F22">
            <v>441674.03278905724</v>
          </cell>
          <cell r="G22">
            <v>292341.65984749701</v>
          </cell>
          <cell r="H22">
            <v>292341.65984749701</v>
          </cell>
          <cell r="I22">
            <v>371363.06849436532</v>
          </cell>
          <cell r="J22">
            <v>292341.65984749701</v>
          </cell>
          <cell r="K22">
            <v>292341.65984749701</v>
          </cell>
          <cell r="L22">
            <v>387202.87881749531</v>
          </cell>
          <cell r="M22">
            <v>292341.65984749713</v>
          </cell>
          <cell r="N22">
            <v>292341.65984749713</v>
          </cell>
        </row>
        <row r="23">
          <cell r="C23">
            <v>165667.92337690279</v>
          </cell>
          <cell r="D23">
            <v>129051.72371646263</v>
          </cell>
          <cell r="E23">
            <v>129051.72371646263</v>
          </cell>
          <cell r="F23">
            <v>194973.22168165588</v>
          </cell>
          <cell r="G23">
            <v>129051.72371646263</v>
          </cell>
          <cell r="H23">
            <v>129051.72371646263</v>
          </cell>
          <cell r="I23">
            <v>163935.04825426938</v>
          </cell>
          <cell r="J23">
            <v>129051.72371646264</v>
          </cell>
          <cell r="K23">
            <v>129051.72371646264</v>
          </cell>
          <cell r="L23">
            <v>170927.39695547087</v>
          </cell>
          <cell r="M23">
            <v>129051.72371646267</v>
          </cell>
          <cell r="N23">
            <v>129051.72371646267</v>
          </cell>
        </row>
        <row r="24">
          <cell r="C24">
            <v>1496928.0219413002</v>
          </cell>
          <cell r="D24">
            <v>1166074.5035808946</v>
          </cell>
          <cell r="E24">
            <v>1166074.5035808946</v>
          </cell>
          <cell r="F24">
            <v>1761722.3244806766</v>
          </cell>
          <cell r="G24">
            <v>1166074.5035808946</v>
          </cell>
          <cell r="H24">
            <v>1166074.5035808946</v>
          </cell>
          <cell r="I24">
            <v>1481270.2574403626</v>
          </cell>
          <cell r="J24">
            <v>1166074.5035808946</v>
          </cell>
          <cell r="K24">
            <v>1166074.5035808946</v>
          </cell>
          <cell r="L24">
            <v>1544451.1224905048</v>
          </cell>
          <cell r="M24">
            <v>1166074.503580895</v>
          </cell>
          <cell r="N24">
            <v>1166074.503580895</v>
          </cell>
        </row>
        <row r="25">
          <cell r="C25">
            <v>126786.67605375213</v>
          </cell>
          <cell r="D25">
            <v>98764.074272803031</v>
          </cell>
          <cell r="E25">
            <v>98764.074272803031</v>
          </cell>
          <cell r="F25">
            <v>149214.20026657337</v>
          </cell>
          <cell r="G25">
            <v>98764.074272803031</v>
          </cell>
          <cell r="H25">
            <v>98764.074272803031</v>
          </cell>
          <cell r="I25">
            <v>125460.49611296125</v>
          </cell>
          <cell r="J25">
            <v>98764.074272803045</v>
          </cell>
          <cell r="K25">
            <v>98764.074272803045</v>
          </cell>
          <cell r="L25">
            <v>130811.78338428894</v>
          </cell>
          <cell r="M25">
            <v>98764.074272803075</v>
          </cell>
          <cell r="N25">
            <v>98764.074272803075</v>
          </cell>
        </row>
        <row r="26">
          <cell r="C26">
            <v>191025.2585876532</v>
          </cell>
          <cell r="D26">
            <v>148804.53857102324</v>
          </cell>
          <cell r="E26">
            <v>148804.53857102324</v>
          </cell>
          <cell r="F26">
            <v>224816.06173497057</v>
          </cell>
          <cell r="G26">
            <v>148804.53857102324</v>
          </cell>
          <cell r="H26">
            <v>148804.53857102324</v>
          </cell>
          <cell r="I26">
            <v>189027.1474768616</v>
          </cell>
          <cell r="J26">
            <v>148804.53857102324</v>
          </cell>
          <cell r="K26">
            <v>148804.53857102324</v>
          </cell>
          <cell r="L26">
            <v>197089.75363232865</v>
          </cell>
          <cell r="M26">
            <v>148804.53857102329</v>
          </cell>
          <cell r="N26">
            <v>148804.53857102329</v>
          </cell>
        </row>
      </sheetData>
      <sheetData sheetId="25">
        <row r="7">
          <cell r="C7">
            <v>49487.569592003689</v>
          </cell>
          <cell r="D7">
            <v>49987.097107952257</v>
          </cell>
          <cell r="E7">
            <v>30112.873538488253</v>
          </cell>
          <cell r="F7">
            <v>45260.099645168193</v>
          </cell>
          <cell r="G7">
            <v>35324.261531033699</v>
          </cell>
          <cell r="H7">
            <v>45263.973569863534</v>
          </cell>
          <cell r="I7">
            <v>34344.134353426532</v>
          </cell>
          <cell r="J7">
            <v>37587.581978728987</v>
          </cell>
          <cell r="K7">
            <v>39211.654630915633</v>
          </cell>
          <cell r="L7">
            <v>27817.594228389535</v>
          </cell>
          <cell r="M7">
            <v>35640.607055877183</v>
          </cell>
          <cell r="N7">
            <v>57223.573424771588</v>
          </cell>
        </row>
        <row r="8">
          <cell r="C8">
            <v>21160.443854843212</v>
          </cell>
          <cell r="D8">
            <v>21374.03737019109</v>
          </cell>
          <cell r="E8">
            <v>12875.996438550803</v>
          </cell>
          <cell r="F8">
            <v>19352.815369638636</v>
          </cell>
          <cell r="G8">
            <v>15104.339514018397</v>
          </cell>
          <cell r="H8">
            <v>19354.471825324166</v>
          </cell>
          <cell r="I8">
            <v>14685.245865181909</v>
          </cell>
          <cell r="J8">
            <v>16072.115172710543</v>
          </cell>
          <cell r="K8">
            <v>16766.554169333536</v>
          </cell>
          <cell r="L8">
            <v>11894.555455028039</v>
          </cell>
          <cell r="M8">
            <v>15239.606042004507</v>
          </cell>
          <cell r="N8">
            <v>24468.290170872187</v>
          </cell>
        </row>
        <row r="9">
          <cell r="C9">
            <v>15719.452285899188</v>
          </cell>
          <cell r="D9">
            <v>15878.124433615974</v>
          </cell>
          <cell r="E9">
            <v>9565.1874335746015</v>
          </cell>
          <cell r="F9">
            <v>14376.619880363331</v>
          </cell>
          <cell r="G9">
            <v>11220.555954750937</v>
          </cell>
          <cell r="H9">
            <v>14377.850411078611</v>
          </cell>
          <cell r="I9">
            <v>10909.223987359303</v>
          </cell>
          <cell r="J9">
            <v>11939.487154617234</v>
          </cell>
          <cell r="K9">
            <v>12455.364834110445</v>
          </cell>
          <cell r="L9">
            <v>8836.1046781398236</v>
          </cell>
          <cell r="M9">
            <v>11321.04135794678</v>
          </cell>
          <cell r="N9">
            <v>18176.751040622788</v>
          </cell>
        </row>
        <row r="10">
          <cell r="C10">
            <v>199295.26000199773</v>
          </cell>
          <cell r="D10">
            <v>201306.94631009252</v>
          </cell>
          <cell r="E10">
            <v>121269.90698347015</v>
          </cell>
          <cell r="F10">
            <v>182270.48531309591</v>
          </cell>
          <cell r="G10">
            <v>142257.09494821221</v>
          </cell>
          <cell r="H10">
            <v>182286.08629806549</v>
          </cell>
          <cell r="I10">
            <v>138309.94817364504</v>
          </cell>
          <cell r="J10">
            <v>151371.88964938815</v>
          </cell>
          <cell r="K10">
            <v>157912.31958256412</v>
          </cell>
          <cell r="L10">
            <v>112026.40824924974</v>
          </cell>
          <cell r="M10">
            <v>143531.07474038887</v>
          </cell>
          <cell r="N10">
            <v>230449.52576891161</v>
          </cell>
        </row>
        <row r="11">
          <cell r="C11">
            <v>100171.56265789412</v>
          </cell>
          <cell r="D11">
            <v>101182.69438805831</v>
          </cell>
          <cell r="E11">
            <v>60953.76320435269</v>
          </cell>
          <cell r="F11">
            <v>91614.418426421864</v>
          </cell>
          <cell r="G11">
            <v>71502.530968333071</v>
          </cell>
          <cell r="H11">
            <v>91622.259932754678</v>
          </cell>
          <cell r="I11">
            <v>69518.580820976335</v>
          </cell>
          <cell r="J11">
            <v>76083.890447296755</v>
          </cell>
          <cell r="K11">
            <v>79371.29972564154</v>
          </cell>
          <cell r="L11">
            <v>56307.713355380649</v>
          </cell>
          <cell r="M11">
            <v>72142.870064082934</v>
          </cell>
          <cell r="N11">
            <v>115830.59782661723</v>
          </cell>
        </row>
        <row r="12">
          <cell r="C12">
            <v>56391.59976998972</v>
          </cell>
          <cell r="D12">
            <v>56960.816564948676</v>
          </cell>
          <cell r="E12">
            <v>34313.932296669678</v>
          </cell>
          <cell r="F12">
            <v>51574.353838394658</v>
          </cell>
          <cell r="G12">
            <v>40252.3630651356</v>
          </cell>
          <cell r="H12">
            <v>51578.768215838529</v>
          </cell>
          <cell r="I12">
            <v>39135.497961858346</v>
          </cell>
          <cell r="J12">
            <v>42831.44023319862</v>
          </cell>
          <cell r="K12">
            <v>44682.087895925892</v>
          </cell>
          <cell r="L12">
            <v>31698.437672816915</v>
          </cell>
          <cell r="M12">
            <v>40612.842077806352</v>
          </cell>
          <cell r="N12">
            <v>65206.856521395093</v>
          </cell>
        </row>
        <row r="13">
          <cell r="C13">
            <v>16731.521396397518</v>
          </cell>
          <cell r="D13">
            <v>16900.409369480225</v>
          </cell>
          <cell r="E13">
            <v>10181.025095191573</v>
          </cell>
          <cell r="F13">
            <v>15302.233103372624</v>
          </cell>
          <cell r="G13">
            <v>11942.971588443737</v>
          </cell>
          <cell r="H13">
            <v>15303.542859629853</v>
          </cell>
          <cell r="I13">
            <v>11611.595063418856</v>
          </cell>
          <cell r="J13">
            <v>12708.189901036654</v>
          </cell>
          <cell r="K13">
            <v>13257.28145177136</v>
          </cell>
          <cell r="L13">
            <v>9405.0016370941157</v>
          </cell>
          <cell r="M13">
            <v>12049.926566455597</v>
          </cell>
          <cell r="N13">
            <v>19347.028981790918</v>
          </cell>
        </row>
        <row r="14">
          <cell r="C14">
            <v>39018.096574505122</v>
          </cell>
          <cell r="D14">
            <v>39411.945232250742</v>
          </cell>
          <cell r="E14">
            <v>23742.265331422641</v>
          </cell>
          <cell r="F14">
            <v>35684.980157365528</v>
          </cell>
          <cell r="G14">
            <v>27851.144422813915</v>
          </cell>
          <cell r="H14">
            <v>35688.034523727249</v>
          </cell>
          <cell r="I14">
            <v>27078.3706295874</v>
          </cell>
          <cell r="J14">
            <v>29635.64215699839</v>
          </cell>
          <cell r="K14">
            <v>30916.12984531013</v>
          </cell>
          <cell r="L14">
            <v>21932.569876074063</v>
          </cell>
          <cell r="M14">
            <v>28100.564637648022</v>
          </cell>
          <cell r="N14">
            <v>45117.48975821185</v>
          </cell>
        </row>
        <row r="15">
          <cell r="C15">
            <v>24644.957510019882</v>
          </cell>
          <cell r="D15">
            <v>24893.723705392451</v>
          </cell>
          <cell r="E15">
            <v>14996.300989906767</v>
          </cell>
          <cell r="F15">
            <v>22539.664846153002</v>
          </cell>
          <cell r="G15">
            <v>17591.587780173049</v>
          </cell>
          <cell r="H15">
            <v>22541.594072225344</v>
          </cell>
          <cell r="I15">
            <v>17103.481517414744</v>
          </cell>
          <cell r="J15">
            <v>18718.728125210775</v>
          </cell>
          <cell r="K15">
            <v>19527.521158215019</v>
          </cell>
          <cell r="L15">
            <v>13853.245035909164</v>
          </cell>
          <cell r="M15">
            <v>17749.128796685451</v>
          </cell>
          <cell r="N15">
            <v>28497.510531470383</v>
          </cell>
        </row>
        <row r="16">
          <cell r="C16">
            <v>18987.763139484818</v>
          </cell>
          <cell r="D16">
            <v>19179.425616197335</v>
          </cell>
          <cell r="E16">
            <v>11553.933945676406</v>
          </cell>
          <cell r="F16">
            <v>17365.735654773322</v>
          </cell>
          <cell r="G16">
            <v>13553.478511033225</v>
          </cell>
          <cell r="H16">
            <v>17367.222031355192</v>
          </cell>
          <cell r="I16">
            <v>13177.415939191267</v>
          </cell>
          <cell r="J16">
            <v>14421.886333924875</v>
          </cell>
          <cell r="K16">
            <v>15045.022751721752</v>
          </cell>
          <cell r="L16">
            <v>10673.263905938657</v>
          </cell>
          <cell r="M16">
            <v>13674.856342789475</v>
          </cell>
          <cell r="N16">
            <v>21955.971310420704</v>
          </cell>
        </row>
        <row r="17">
          <cell r="C17">
            <v>44967.112246977573</v>
          </cell>
          <cell r="D17">
            <v>45421.010267537116</v>
          </cell>
          <cell r="E17">
            <v>27362.203794769477</v>
          </cell>
          <cell r="F17">
            <v>41125.801849491567</v>
          </cell>
          <cell r="G17">
            <v>32097.555939870734</v>
          </cell>
          <cell r="H17">
            <v>41129.321909337865</v>
          </cell>
          <cell r="I17">
            <v>31206.958782339352</v>
          </cell>
          <cell r="J17">
            <v>34154.132681494324</v>
          </cell>
          <cell r="K17">
            <v>35629.853915133644</v>
          </cell>
          <cell r="L17">
            <v>25276.587482909788</v>
          </cell>
          <cell r="M17">
            <v>32385.004784939178</v>
          </cell>
          <cell r="N17">
            <v>51996.468417811469</v>
          </cell>
        </row>
        <row r="18">
          <cell r="C18">
            <v>32819.71374054248</v>
          </cell>
          <cell r="D18">
            <v>33150.995923404123</v>
          </cell>
          <cell r="E18">
            <v>19970.588525285591</v>
          </cell>
          <cell r="F18">
            <v>30016.09346487014</v>
          </cell>
          <cell r="G18">
            <v>23426.734452764689</v>
          </cell>
          <cell r="H18">
            <v>30018.662617095677</v>
          </cell>
          <cell r="I18">
            <v>22776.72287079379</v>
          </cell>
          <cell r="J18">
            <v>24927.74833986571</v>
          </cell>
          <cell r="K18">
            <v>26004.818803783219</v>
          </cell>
          <cell r="L18">
            <v>18448.379806346969</v>
          </cell>
          <cell r="M18">
            <v>23636.531976750233</v>
          </cell>
          <cell r="N18">
            <v>37950.162323497476</v>
          </cell>
        </row>
        <row r="19">
          <cell r="C19">
            <v>58334.808806650515</v>
          </cell>
          <cell r="D19">
            <v>58923.640353173447</v>
          </cell>
          <cell r="E19">
            <v>35496.362722375401</v>
          </cell>
          <cell r="F19">
            <v>53351.564466351432</v>
          </cell>
          <cell r="G19">
            <v>41639.427024557961</v>
          </cell>
          <cell r="H19">
            <v>53356.130959680908</v>
          </cell>
          <cell r="I19">
            <v>40484.075650802981</v>
          </cell>
          <cell r="J19">
            <v>44307.377111276721</v>
          </cell>
          <cell r="K19">
            <v>46221.796599533947</v>
          </cell>
          <cell r="L19">
            <v>32790.740263718537</v>
          </cell>
          <cell r="M19">
            <v>42012.327853204952</v>
          </cell>
          <cell r="N19">
            <v>67453.832194393326</v>
          </cell>
        </row>
        <row r="20">
          <cell r="C20">
            <v>9946.8484494325839</v>
          </cell>
          <cell r="D20">
            <v>10047.251935367056</v>
          </cell>
          <cell r="E20">
            <v>6052.5944582388584</v>
          </cell>
          <cell r="F20">
            <v>9097.1400634200691</v>
          </cell>
          <cell r="G20">
            <v>7100.0673287072887</v>
          </cell>
          <cell r="H20">
            <v>9097.9187103038566</v>
          </cell>
          <cell r="I20">
            <v>6903.0647970169075</v>
          </cell>
          <cell r="J20">
            <v>7554.9877394555397</v>
          </cell>
          <cell r="K20">
            <v>7881.4213201577695</v>
          </cell>
          <cell r="L20">
            <v>5591.2504149791703</v>
          </cell>
          <cell r="M20">
            <v>7163.6518009134707</v>
          </cell>
          <cell r="N20">
            <v>11501.761296500457</v>
          </cell>
        </row>
        <row r="21">
          <cell r="C21">
            <v>31140.456664174955</v>
          </cell>
          <cell r="D21">
            <v>31454.788426498406</v>
          </cell>
          <cell r="E21">
            <v>18948.771200325715</v>
          </cell>
          <cell r="F21">
            <v>28480.286731323682</v>
          </cell>
          <cell r="G21">
            <v>22228.079585845735</v>
          </cell>
          <cell r="H21">
            <v>28482.724430024391</v>
          </cell>
          <cell r="I21">
            <v>21611.326567839613</v>
          </cell>
          <cell r="J21">
            <v>23652.292431610233</v>
          </cell>
          <cell r="K21">
            <v>24674.253389924535</v>
          </cell>
          <cell r="L21">
            <v>17504.447979816297</v>
          </cell>
          <cell r="M21">
            <v>22427.142586686368</v>
          </cell>
          <cell r="N21">
            <v>36008.400151687129</v>
          </cell>
        </row>
        <row r="22">
          <cell r="C22">
            <v>129750.83488649508</v>
          </cell>
          <cell r="D22">
            <v>131060.53978365325</v>
          </cell>
          <cell r="E22">
            <v>78952.563535907117</v>
          </cell>
          <cell r="F22">
            <v>118666.88472321804</v>
          </cell>
          <cell r="G22">
            <v>92616.236020229044</v>
          </cell>
          <cell r="H22">
            <v>118677.04171754312</v>
          </cell>
          <cell r="I22">
            <v>90046.452928476167</v>
          </cell>
          <cell r="J22">
            <v>98550.40737124224</v>
          </cell>
          <cell r="K22">
            <v>102808.54298539432</v>
          </cell>
          <cell r="L22">
            <v>72934.599646423056</v>
          </cell>
          <cell r="M22">
            <v>93445.658364050905</v>
          </cell>
          <cell r="N22">
            <v>150033.76581767882</v>
          </cell>
        </row>
        <row r="23">
          <cell r="C23">
            <v>52682.925120104977</v>
          </cell>
          <cell r="D23">
            <v>53214.706554010809</v>
          </cell>
          <cell r="E23">
            <v>32057.227195810941</v>
          </cell>
          <cell r="F23">
            <v>48182.492294391595</v>
          </cell>
          <cell r="G23">
            <v>37605.108525336742</v>
          </cell>
          <cell r="H23">
            <v>48186.616353954996</v>
          </cell>
          <cell r="I23">
            <v>36561.695661626378</v>
          </cell>
          <cell r="J23">
            <v>40014.568974734124</v>
          </cell>
          <cell r="K23">
            <v>41743.506132694376</v>
          </cell>
          <cell r="L23">
            <v>29613.74433697206</v>
          </cell>
          <cell r="M23">
            <v>37941.880117371082</v>
          </cell>
          <cell r="N23">
            <v>60918.433834932017</v>
          </cell>
        </row>
        <row r="24">
          <cell r="C24">
            <v>548619.70823383552</v>
          </cell>
          <cell r="D24">
            <v>554157.47544111335</v>
          </cell>
          <cell r="E24">
            <v>333831.62743634178</v>
          </cell>
          <cell r="F24">
            <v>501753.93268815277</v>
          </cell>
          <cell r="G24">
            <v>391605.12861118175</v>
          </cell>
          <cell r="H24">
            <v>501796.8790573845</v>
          </cell>
          <cell r="I24">
            <v>380739.42858501227</v>
          </cell>
          <cell r="J24">
            <v>416696.32249868475</v>
          </cell>
          <cell r="K24">
            <v>434700.80871489929</v>
          </cell>
          <cell r="L24">
            <v>308386.13726975681</v>
          </cell>
          <cell r="M24">
            <v>395112.13837083563</v>
          </cell>
          <cell r="N24">
            <v>634381.12671971601</v>
          </cell>
        </row>
        <row r="25">
          <cell r="C25">
            <v>40542.153219355918</v>
          </cell>
          <cell r="D25">
            <v>40951.3857045201</v>
          </cell>
          <cell r="E25">
            <v>24669.644174034063</v>
          </cell>
          <cell r="F25">
            <v>37078.8444384268</v>
          </cell>
          <cell r="G25">
            <v>28939.017113969843</v>
          </cell>
          <cell r="H25">
            <v>37082.018109105185</v>
          </cell>
          <cell r="I25">
            <v>28136.058582431338</v>
          </cell>
          <cell r="J25">
            <v>30793.217777519716</v>
          </cell>
          <cell r="K25">
            <v>32123.721636310056</v>
          </cell>
          <cell r="L25">
            <v>22789.261560007366</v>
          </cell>
          <cell r="M25">
            <v>29198.17974499414</v>
          </cell>
          <cell r="N25">
            <v>46879.790231626539</v>
          </cell>
        </row>
        <row r="26">
          <cell r="C26">
            <v>76160.66008531324</v>
          </cell>
          <cell r="D26">
            <v>76929.425770495873</v>
          </cell>
          <cell r="E26">
            <v>46343.28063925376</v>
          </cell>
          <cell r="F26">
            <v>69654.644447522864</v>
          </cell>
          <cell r="G26">
            <v>54363.532042690422</v>
          </cell>
          <cell r="H26">
            <v>69660.606362087477</v>
          </cell>
          <cell r="I26">
            <v>52855.130368703605</v>
          </cell>
          <cell r="J26">
            <v>57846.74976185101</v>
          </cell>
          <cell r="K26">
            <v>60346.174288793758</v>
          </cell>
          <cell r="L26">
            <v>42810.878689057223</v>
          </cell>
          <cell r="M26">
            <v>54850.383269892474</v>
          </cell>
          <cell r="N26">
            <v>88066.259070746484</v>
          </cell>
        </row>
      </sheetData>
      <sheetData sheetId="26">
        <row r="7">
          <cell r="C7">
            <v>108515.59232688899</v>
          </cell>
          <cell r="D7">
            <v>109186.11860558472</v>
          </cell>
          <cell r="E7">
            <v>124058.65010120287</v>
          </cell>
          <cell r="F7">
            <v>119027.88731383004</v>
          </cell>
          <cell r="G7">
            <v>127038.63635508782</v>
          </cell>
          <cell r="H7">
            <v>122051.48316272711</v>
          </cell>
          <cell r="I7">
            <v>126529.47708009076</v>
          </cell>
          <cell r="J7">
            <v>125596.10193680914</v>
          </cell>
          <cell r="K7">
            <v>119822.41502762708</v>
          </cell>
          <cell r="L7">
            <v>126138.19845114372</v>
          </cell>
          <cell r="M7">
            <v>121486.08657087667</v>
          </cell>
          <cell r="N7">
            <v>89422.97806813092</v>
          </cell>
        </row>
        <row r="8">
          <cell r="C8">
            <v>44298.145908784827</v>
          </cell>
          <cell r="D8">
            <v>44571.867595156502</v>
          </cell>
          <cell r="E8">
            <v>50643.120178299265</v>
          </cell>
          <cell r="F8">
            <v>48589.466328111448</v>
          </cell>
          <cell r="G8">
            <v>51859.607717556399</v>
          </cell>
          <cell r="H8">
            <v>49823.756140400932</v>
          </cell>
          <cell r="I8">
            <v>51651.759136804176</v>
          </cell>
          <cell r="J8">
            <v>51270.737502971402</v>
          </cell>
          <cell r="K8">
            <v>48913.807778401198</v>
          </cell>
          <cell r="L8">
            <v>51492.03169649429</v>
          </cell>
          <cell r="M8">
            <v>49592.950408385273</v>
          </cell>
          <cell r="N8">
            <v>36504.174608634268</v>
          </cell>
        </row>
        <row r="9">
          <cell r="C9">
            <v>32406.026201728495</v>
          </cell>
          <cell r="D9">
            <v>32606.265556188315</v>
          </cell>
          <cell r="E9">
            <v>37047.651674057852</v>
          </cell>
          <cell r="F9">
            <v>35545.314293719115</v>
          </cell>
          <cell r="G9">
            <v>37937.565377272804</v>
          </cell>
          <cell r="H9">
            <v>36448.251136266452</v>
          </cell>
          <cell r="I9">
            <v>37785.515073232586</v>
          </cell>
          <cell r="J9">
            <v>37506.781126334783</v>
          </cell>
          <cell r="K9">
            <v>35782.584213729737</v>
          </cell>
          <cell r="L9">
            <v>37668.667482670317</v>
          </cell>
          <cell r="M9">
            <v>36279.406674590566</v>
          </cell>
          <cell r="N9">
            <v>26704.396190208961</v>
          </cell>
        </row>
        <row r="10">
          <cell r="C10">
            <v>262221.23954059207</v>
          </cell>
          <cell r="D10">
            <v>263841.52495924855</v>
          </cell>
          <cell r="E10">
            <v>299780.08051852317</v>
          </cell>
          <cell r="F10">
            <v>287623.55235835095</v>
          </cell>
          <cell r="G10">
            <v>306981.03360325331</v>
          </cell>
          <cell r="H10">
            <v>294929.88534116524</v>
          </cell>
          <cell r="I10">
            <v>305750.68160175357</v>
          </cell>
          <cell r="J10">
            <v>303495.23810483742</v>
          </cell>
          <cell r="K10">
            <v>289543.47960100573</v>
          </cell>
          <cell r="L10">
            <v>304805.18091481854</v>
          </cell>
          <cell r="M10">
            <v>293563.6393301732</v>
          </cell>
          <cell r="N10">
            <v>216085.114126278</v>
          </cell>
        </row>
        <row r="11">
          <cell r="C11">
            <v>197111.88414445863</v>
          </cell>
          <cell r="D11">
            <v>198329.85379589771</v>
          </cell>
          <cell r="E11">
            <v>225344.8904578014</v>
          </cell>
          <cell r="F11">
            <v>216206.81997005295</v>
          </cell>
          <cell r="G11">
            <v>230757.8517902006</v>
          </cell>
          <cell r="H11">
            <v>221698.99544352895</v>
          </cell>
          <cell r="I11">
            <v>229832.99535369911</v>
          </cell>
          <cell r="J11">
            <v>228137.57694275194</v>
          </cell>
          <cell r="K11">
            <v>217650.03058442948</v>
          </cell>
          <cell r="L11">
            <v>229122.2618441323</v>
          </cell>
          <cell r="M11">
            <v>220671.98738764721</v>
          </cell>
          <cell r="N11">
            <v>162431.32728539946</v>
          </cell>
        </row>
        <row r="12">
          <cell r="C12">
            <v>95731.563641803441</v>
          </cell>
          <cell r="D12">
            <v>96323.096413693915</v>
          </cell>
          <cell r="E12">
            <v>109443.52145914338</v>
          </cell>
          <cell r="F12">
            <v>105005.42387685829</v>
          </cell>
          <cell r="G12">
            <v>112072.44083928295</v>
          </cell>
          <cell r="H12">
            <v>107672.81528328254</v>
          </cell>
          <cell r="I12">
            <v>111623.26471175131</v>
          </cell>
          <cell r="J12">
            <v>110799.84883192478</v>
          </cell>
          <cell r="K12">
            <v>105706.34969560527</v>
          </cell>
          <cell r="L12">
            <v>111278.08192128297</v>
          </cell>
          <cell r="M12">
            <v>107174.02705704737</v>
          </cell>
          <cell r="N12">
            <v>78888.216268323711</v>
          </cell>
        </row>
        <row r="13">
          <cell r="C13">
            <v>33000.632187081312</v>
          </cell>
          <cell r="D13">
            <v>33204.545658136725</v>
          </cell>
          <cell r="E13">
            <v>37727.425099269924</v>
          </cell>
          <cell r="F13">
            <v>36197.521895438731</v>
          </cell>
          <cell r="G13">
            <v>38633.667494286979</v>
          </cell>
          <cell r="H13">
            <v>37117.026386473175</v>
          </cell>
          <cell r="I13">
            <v>38478.827276411168</v>
          </cell>
          <cell r="J13">
            <v>38194.978945166622</v>
          </cell>
          <cell r="K13">
            <v>36439.145391963313</v>
          </cell>
          <cell r="L13">
            <v>38359.835693361521</v>
          </cell>
          <cell r="M13">
            <v>36945.083861280305</v>
          </cell>
          <cell r="N13">
            <v>27194.385111130228</v>
          </cell>
        </row>
        <row r="14">
          <cell r="C14">
            <v>80569.111015306626</v>
          </cell>
          <cell r="D14">
            <v>81066.953814009481</v>
          </cell>
          <cell r="E14">
            <v>92109.299116235561</v>
          </cell>
          <cell r="F14">
            <v>88374.13003300807</v>
          </cell>
          <cell r="G14">
            <v>94321.836855421367</v>
          </cell>
          <cell r="H14">
            <v>90619.046403011089</v>
          </cell>
          <cell r="I14">
            <v>93943.803530697522</v>
          </cell>
          <cell r="J14">
            <v>93250.804451713091</v>
          </cell>
          <cell r="K14">
            <v>88964.039650649152</v>
          </cell>
          <cell r="L14">
            <v>93653.292548657395</v>
          </cell>
          <cell r="M14">
            <v>90199.258796459122</v>
          </cell>
          <cell r="N14">
            <v>66393.498784831449</v>
          </cell>
        </row>
        <row r="15">
          <cell r="C15">
            <v>50244.20576231298</v>
          </cell>
          <cell r="D15">
            <v>50554.668614640592</v>
          </cell>
          <cell r="E15">
            <v>57440.85443041996</v>
          </cell>
          <cell r="F15">
            <v>55111.542345307607</v>
          </cell>
          <cell r="G15">
            <v>58820.628887698193</v>
          </cell>
          <cell r="H15">
            <v>56511.508642468165</v>
          </cell>
          <cell r="I15">
            <v>58584.881168589964</v>
          </cell>
          <cell r="J15">
            <v>58152.715691289712</v>
          </cell>
          <cell r="K15">
            <v>55479.419560736926</v>
          </cell>
          <cell r="L15">
            <v>58403.713803406266</v>
          </cell>
          <cell r="M15">
            <v>56249.72227528262</v>
          </cell>
          <cell r="N15">
            <v>41404.063817846916</v>
          </cell>
        </row>
        <row r="16">
          <cell r="C16">
            <v>37757.480069903839</v>
          </cell>
          <cell r="D16">
            <v>37990.786473723994</v>
          </cell>
          <cell r="E16">
            <v>43165.612500966483</v>
          </cell>
          <cell r="F16">
            <v>41415.182709195658</v>
          </cell>
          <cell r="G16">
            <v>44202.484430400422</v>
          </cell>
          <cell r="H16">
            <v>42467.228388126969</v>
          </cell>
          <cell r="I16">
            <v>44025.324901839798</v>
          </cell>
          <cell r="J16">
            <v>43700.561495821261</v>
          </cell>
          <cell r="K16">
            <v>41691.634817831895</v>
          </cell>
          <cell r="L16">
            <v>43889.181378891102</v>
          </cell>
          <cell r="M16">
            <v>42270.501354798187</v>
          </cell>
          <cell r="N16">
            <v>31114.296478500346</v>
          </cell>
        </row>
        <row r="17">
          <cell r="C17">
            <v>100785.71451730239</v>
          </cell>
          <cell r="D17">
            <v>101408.47728025539</v>
          </cell>
          <cell r="E17">
            <v>115221.59557344597</v>
          </cell>
          <cell r="F17">
            <v>110549.18849147504</v>
          </cell>
          <cell r="G17">
            <v>117989.30883390349</v>
          </cell>
          <cell r="H17">
            <v>113357.4049100397</v>
          </cell>
          <cell r="I17">
            <v>117516.41843876924</v>
          </cell>
          <cell r="J17">
            <v>116649.53029199534</v>
          </cell>
          <cell r="K17">
            <v>111287.11971059065</v>
          </cell>
          <cell r="L17">
            <v>117153.01171215814</v>
          </cell>
          <cell r="M17">
            <v>112832.28314391011</v>
          </cell>
          <cell r="N17">
            <v>83053.122096154475</v>
          </cell>
        </row>
        <row r="18">
          <cell r="C18">
            <v>65703.961381486224</v>
          </cell>
          <cell r="D18">
            <v>66109.951265299242</v>
          </cell>
          <cell r="E18">
            <v>75114.963485933811</v>
          </cell>
          <cell r="F18">
            <v>72068.93999001765</v>
          </cell>
          <cell r="G18">
            <v>76919.283930066871</v>
          </cell>
          <cell r="H18">
            <v>73899.665147842999</v>
          </cell>
          <cell r="I18">
            <v>76610.998451233041</v>
          </cell>
          <cell r="J18">
            <v>76045.858980917328</v>
          </cell>
          <cell r="K18">
            <v>72550.010194809831</v>
          </cell>
          <cell r="L18">
            <v>76374.087281377448</v>
          </cell>
          <cell r="M18">
            <v>73557.329129215752</v>
          </cell>
          <cell r="N18">
            <v>54143.775761799821</v>
          </cell>
        </row>
        <row r="19">
          <cell r="C19">
            <v>117434.68210718124</v>
          </cell>
          <cell r="D19">
            <v>118160.32013481087</v>
          </cell>
          <cell r="E19">
            <v>134255.25147938394</v>
          </cell>
          <cell r="F19">
            <v>128811.0013396243</v>
          </cell>
          <cell r="G19">
            <v>137480.16811030052</v>
          </cell>
          <cell r="H19">
            <v>132083.11191582796</v>
          </cell>
          <cell r="I19">
            <v>136929.16012776946</v>
          </cell>
          <cell r="J19">
            <v>135919.06921928661</v>
          </cell>
          <cell r="K19">
            <v>129670.8327011307</v>
          </cell>
          <cell r="L19">
            <v>136505.72161151172</v>
          </cell>
          <cell r="M19">
            <v>131471.24437122271</v>
          </cell>
          <cell r="N19">
            <v>96772.811881949907</v>
          </cell>
        </row>
        <row r="20">
          <cell r="C20">
            <v>22297.724450730617</v>
          </cell>
          <cell r="D20">
            <v>22435.503823065352</v>
          </cell>
          <cell r="E20">
            <v>25491.503445452647</v>
          </cell>
          <cell r="F20">
            <v>24457.785064485626</v>
          </cell>
          <cell r="G20">
            <v>26103.829388031743</v>
          </cell>
          <cell r="H20">
            <v>25079.071882752145</v>
          </cell>
          <cell r="I20">
            <v>25999.207619196732</v>
          </cell>
          <cell r="J20">
            <v>25807.418206193659</v>
          </cell>
          <cell r="K20">
            <v>24621.04418375899</v>
          </cell>
          <cell r="L20">
            <v>25918.807900919943</v>
          </cell>
          <cell r="M20">
            <v>24962.89450086507</v>
          </cell>
          <cell r="N20">
            <v>18374.584534547448</v>
          </cell>
        </row>
        <row r="21">
          <cell r="C21">
            <v>67785.082330221077</v>
          </cell>
          <cell r="D21">
            <v>68203.931622118675</v>
          </cell>
          <cell r="E21">
            <v>77494.170474176048</v>
          </cell>
          <cell r="F21">
            <v>74351.666596036303</v>
          </cell>
          <cell r="G21">
            <v>79355.641339616501</v>
          </cell>
          <cell r="H21">
            <v>76240.378523566527</v>
          </cell>
          <cell r="I21">
            <v>79037.591162358076</v>
          </cell>
          <cell r="J21">
            <v>78454.551346828724</v>
          </cell>
          <cell r="K21">
            <v>74847.974318627341</v>
          </cell>
          <cell r="L21">
            <v>78793.176018796628</v>
          </cell>
          <cell r="M21">
            <v>75887.199282629823</v>
          </cell>
          <cell r="N21">
            <v>55858.736985024247</v>
          </cell>
        </row>
        <row r="22">
          <cell r="C22">
            <v>264005.05749665049</v>
          </cell>
          <cell r="D22">
            <v>265636.3652650938</v>
          </cell>
          <cell r="E22">
            <v>301819.40079415939</v>
          </cell>
          <cell r="F22">
            <v>289580.17516350985</v>
          </cell>
          <cell r="G22">
            <v>309069.33995429584</v>
          </cell>
          <cell r="H22">
            <v>296936.2110917854</v>
          </cell>
          <cell r="I22">
            <v>307830.61821128934</v>
          </cell>
          <cell r="J22">
            <v>305559.83156133298</v>
          </cell>
          <cell r="K22">
            <v>291513.16313570651</v>
          </cell>
          <cell r="L22">
            <v>306878.68554689217</v>
          </cell>
          <cell r="M22">
            <v>295560.67089024244</v>
          </cell>
          <cell r="N22">
            <v>217555.08088904183</v>
          </cell>
        </row>
        <row r="23">
          <cell r="C23">
            <v>116542.77312915202</v>
          </cell>
          <cell r="D23">
            <v>117262.89998188824</v>
          </cell>
          <cell r="E23">
            <v>133235.59134156583</v>
          </cell>
          <cell r="F23">
            <v>127832.68993704488</v>
          </cell>
          <cell r="G23">
            <v>136436.01493477923</v>
          </cell>
          <cell r="H23">
            <v>131079.94904051788</v>
          </cell>
          <cell r="I23">
            <v>135889.19182300157</v>
          </cell>
          <cell r="J23">
            <v>134886.77249103886</v>
          </cell>
          <cell r="K23">
            <v>128685.99093378033</v>
          </cell>
          <cell r="L23">
            <v>135468.9692954749</v>
          </cell>
          <cell r="M23">
            <v>130472.72859118809</v>
          </cell>
          <cell r="N23">
            <v>96037.828500568008</v>
          </cell>
        </row>
        <row r="24">
          <cell r="C24">
            <v>1053047.2000598379</v>
          </cell>
          <cell r="D24">
            <v>1059554.0605506331</v>
          </cell>
          <cell r="E24">
            <v>1203878.7360505771</v>
          </cell>
          <cell r="F24">
            <v>1155059.6626454412</v>
          </cell>
          <cell r="G24">
            <v>1232796.8492321125</v>
          </cell>
          <cell r="H24">
            <v>1184400.9681161081</v>
          </cell>
          <cell r="I24">
            <v>1227855.9118292644</v>
          </cell>
          <cell r="J24">
            <v>1218798.3371511726</v>
          </cell>
          <cell r="K24">
            <v>1162769.846651658</v>
          </cell>
          <cell r="L24">
            <v>1224058.9011341126</v>
          </cell>
          <cell r="M24">
            <v>1178914.297627521</v>
          </cell>
          <cell r="N24">
            <v>867770.37895156094</v>
          </cell>
        </row>
        <row r="25">
          <cell r="C25">
            <v>89190.897802922467</v>
          </cell>
          <cell r="D25">
            <v>89742.015292261407</v>
          </cell>
          <cell r="E25">
            <v>101966.01378181059</v>
          </cell>
          <cell r="F25">
            <v>97831.140257942505</v>
          </cell>
          <cell r="G25">
            <v>104415.31755212697</v>
          </cell>
          <cell r="H25">
            <v>100316.28753100858</v>
          </cell>
          <cell r="I25">
            <v>103996.83047678693</v>
          </cell>
          <cell r="J25">
            <v>103229.67282477464</v>
          </cell>
          <cell r="K25">
            <v>98484.176735035959</v>
          </cell>
          <cell r="L25">
            <v>103675.23160367977</v>
          </cell>
          <cell r="M25">
            <v>99851.578003460279</v>
          </cell>
          <cell r="N25">
            <v>73498.338138189793</v>
          </cell>
        </row>
        <row r="26">
          <cell r="C26">
            <v>134380.9526897365</v>
          </cell>
          <cell r="D26">
            <v>135211.30304034051</v>
          </cell>
          <cell r="E26">
            <v>153628.79409792795</v>
          </cell>
          <cell r="F26">
            <v>147398.91798863336</v>
          </cell>
          <cell r="G26">
            <v>157319.07844520462</v>
          </cell>
          <cell r="H26">
            <v>151143.20654671959</v>
          </cell>
          <cell r="I26">
            <v>156688.55791835897</v>
          </cell>
          <cell r="J26">
            <v>155532.70705599379</v>
          </cell>
          <cell r="K26">
            <v>148382.82628078753</v>
          </cell>
          <cell r="L26">
            <v>156204.01561621085</v>
          </cell>
          <cell r="M26">
            <v>150443.04419188015</v>
          </cell>
          <cell r="N26">
            <v>110737.49612820595</v>
          </cell>
        </row>
      </sheetData>
      <sheetData sheetId="27">
        <row r="7">
          <cell r="C7">
            <v>59001.003114284846</v>
          </cell>
        </row>
      </sheetData>
      <sheetData sheetId="28">
        <row r="7">
          <cell r="C7">
            <v>56963.546951054755</v>
          </cell>
        </row>
      </sheetData>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22.55 POE"/>
      <sheetName val="CONCENTRADO A AYUNT"/>
      <sheetName val="CONCENTRADO A EDO"/>
      <sheetName val="partrecib"/>
      <sheetName val="TRANSMUNI"/>
      <sheetName val="Hoja1"/>
      <sheetName val="X22.55 DOF"/>
      <sheetName val="CONCENTRADO"/>
      <sheetName val="FGP"/>
      <sheetName val="FFM"/>
      <sheetName val="FOFIR"/>
      <sheetName val="FOCO"/>
      <sheetName val="IEPS"/>
      <sheetName val="GAS Y DIESEL"/>
      <sheetName val="ISR"/>
      <sheetName val="Foco ISAN"/>
      <sheetName val="ISAN"/>
      <sheetName val="REPECOS E INT"/>
      <sheetName val="OTROS I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DE CALENDARIO 2019."/>
      <sheetName val="FFMmofidicar"/>
      <sheetName val="Datos"/>
      <sheetName val=" total"/>
      <sheetName val="FGP total"/>
      <sheetName val="FFM"/>
      <sheetName val="FOFIR"/>
      <sheetName val="FOCOmodificado"/>
      <sheetName val="IEPS TyA (2)"/>
      <sheetName val="IEPS GyD"/>
      <sheetName val="FGP 60%"/>
      <sheetName val="FGP 30%"/>
      <sheetName val="FGP 10%"/>
      <sheetName val="CENSO"/>
      <sheetName val="FOCO70 y 30"/>
      <sheetName val="IEPS TyA"/>
      <sheetName val="FOCO"/>
      <sheetName val="FFM factor 2014"/>
      <sheetName val="ISAN"/>
      <sheetName val="ISAN modificado"/>
      <sheetName val="ISAN  ok"/>
      <sheetName val="FOCO isan"/>
      <sheetName val="Hoja1"/>
    </sheetNames>
    <sheetDataSet>
      <sheetData sheetId="0"/>
      <sheetData sheetId="1"/>
      <sheetData sheetId="2">
        <row r="13">
          <cell r="I13">
            <v>976528016.10000002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D33"/>
  <sheetViews>
    <sheetView tabSelected="1" zoomScale="90" zoomScaleNormal="90" workbookViewId="0"/>
  </sheetViews>
  <sheetFormatPr baseColWidth="10" defaultRowHeight="15" x14ac:dyDescent="0.25"/>
  <cols>
    <col min="1" max="1" width="3.5703125" customWidth="1"/>
    <col min="2" max="2" width="29" customWidth="1"/>
    <col min="3" max="3" width="30.5703125" customWidth="1"/>
  </cols>
  <sheetData>
    <row r="1" spans="2:4" x14ac:dyDescent="0.25">
      <c r="B1" s="8"/>
      <c r="C1" s="8"/>
    </row>
    <row r="2" spans="2:4" x14ac:dyDescent="0.25">
      <c r="B2" s="967" t="s">
        <v>308</v>
      </c>
      <c r="C2" s="967"/>
    </row>
    <row r="3" spans="2:4" x14ac:dyDescent="0.25">
      <c r="B3" s="967"/>
      <c r="C3" s="967"/>
    </row>
    <row r="4" spans="2:4" ht="15.75" thickBot="1" x14ac:dyDescent="0.3">
      <c r="B4" s="12"/>
      <c r="C4" s="963" t="s">
        <v>537</v>
      </c>
    </row>
    <row r="5" spans="2:4" ht="15" customHeight="1" x14ac:dyDescent="0.25">
      <c r="B5" s="968" t="s">
        <v>83</v>
      </c>
      <c r="C5" s="971" t="s">
        <v>307</v>
      </c>
    </row>
    <row r="6" spans="2:4" x14ac:dyDescent="0.25">
      <c r="B6" s="969"/>
      <c r="C6" s="972"/>
    </row>
    <row r="7" spans="2:4" x14ac:dyDescent="0.25">
      <c r="B7" s="969"/>
      <c r="C7" s="972"/>
    </row>
    <row r="8" spans="2:4" ht="15.75" thickBot="1" x14ac:dyDescent="0.3">
      <c r="B8" s="970"/>
      <c r="C8" s="973"/>
    </row>
    <row r="9" spans="2:4" ht="24" customHeight="1" x14ac:dyDescent="0.25">
      <c r="B9" s="120" t="s">
        <v>45</v>
      </c>
      <c r="C9" s="391">
        <v>37232</v>
      </c>
      <c r="D9" s="59"/>
    </row>
    <row r="10" spans="2:4" ht="24" customHeight="1" x14ac:dyDescent="0.25">
      <c r="B10" s="120" t="s">
        <v>46</v>
      </c>
      <c r="C10" s="392">
        <v>15393</v>
      </c>
      <c r="D10" s="59"/>
    </row>
    <row r="11" spans="2:4" ht="24" customHeight="1" x14ac:dyDescent="0.25">
      <c r="B11" s="120" t="s">
        <v>47</v>
      </c>
      <c r="C11" s="379">
        <v>11536</v>
      </c>
      <c r="D11" s="59"/>
    </row>
    <row r="12" spans="2:4" ht="24" customHeight="1" x14ac:dyDescent="0.25">
      <c r="B12" s="120" t="s">
        <v>48</v>
      </c>
      <c r="C12" s="379">
        <v>187632</v>
      </c>
      <c r="D12" s="59"/>
    </row>
    <row r="13" spans="2:4" ht="24" customHeight="1" x14ac:dyDescent="0.25">
      <c r="B13" s="120" t="s">
        <v>49</v>
      </c>
      <c r="C13" s="379">
        <v>77436</v>
      </c>
      <c r="D13" s="59"/>
    </row>
    <row r="14" spans="2:4" ht="24" customHeight="1" x14ac:dyDescent="0.25">
      <c r="B14" s="120" t="s">
        <v>50</v>
      </c>
      <c r="C14" s="379">
        <v>47550</v>
      </c>
      <c r="D14" s="59"/>
    </row>
    <row r="15" spans="2:4" ht="24" customHeight="1" x14ac:dyDescent="0.25">
      <c r="B15" s="120" t="s">
        <v>51</v>
      </c>
      <c r="C15" s="379">
        <v>12230</v>
      </c>
      <c r="D15" s="59"/>
    </row>
    <row r="16" spans="2:4" ht="24" customHeight="1" x14ac:dyDescent="0.25">
      <c r="B16" s="120" t="s">
        <v>52</v>
      </c>
      <c r="C16" s="379">
        <v>29299</v>
      </c>
      <c r="D16" s="59"/>
    </row>
    <row r="17" spans="2:4" ht="24" customHeight="1" x14ac:dyDescent="0.25">
      <c r="B17" s="120" t="s">
        <v>53</v>
      </c>
      <c r="C17" s="379">
        <v>19321</v>
      </c>
      <c r="D17" s="59"/>
    </row>
    <row r="18" spans="2:4" ht="24" customHeight="1" x14ac:dyDescent="0.25">
      <c r="B18" s="120" t="s">
        <v>54</v>
      </c>
      <c r="C18" s="379">
        <v>13719</v>
      </c>
      <c r="D18" s="59"/>
    </row>
    <row r="19" spans="2:4" ht="24" customHeight="1" x14ac:dyDescent="0.25">
      <c r="B19" s="120" t="s">
        <v>55</v>
      </c>
      <c r="C19" s="379">
        <v>33567</v>
      </c>
      <c r="D19" s="59"/>
    </row>
    <row r="20" spans="2:4" ht="24" customHeight="1" x14ac:dyDescent="0.25">
      <c r="B20" s="120" t="s">
        <v>56</v>
      </c>
      <c r="C20" s="379">
        <v>24096</v>
      </c>
      <c r="D20" s="59"/>
    </row>
    <row r="21" spans="2:4" ht="24" customHeight="1" x14ac:dyDescent="0.25">
      <c r="B21" s="120" t="s">
        <v>57</v>
      </c>
      <c r="C21" s="379">
        <v>41518</v>
      </c>
      <c r="D21" s="59"/>
    </row>
    <row r="22" spans="2:4" ht="24" customHeight="1" x14ac:dyDescent="0.25">
      <c r="B22" s="120" t="s">
        <v>58</v>
      </c>
      <c r="C22" s="379">
        <v>7683</v>
      </c>
      <c r="D22" s="59"/>
    </row>
    <row r="23" spans="2:4" ht="24" customHeight="1" x14ac:dyDescent="0.25">
      <c r="B23" s="120" t="s">
        <v>59</v>
      </c>
      <c r="C23" s="379">
        <v>24911</v>
      </c>
      <c r="D23" s="59"/>
    </row>
    <row r="24" spans="2:4" ht="24" customHeight="1" x14ac:dyDescent="0.25">
      <c r="B24" s="120" t="s">
        <v>60</v>
      </c>
      <c r="C24" s="379">
        <v>93981</v>
      </c>
      <c r="D24" s="59"/>
    </row>
    <row r="25" spans="2:4" ht="24" customHeight="1" x14ac:dyDescent="0.25">
      <c r="B25" s="120" t="s">
        <v>61</v>
      </c>
      <c r="C25" s="379">
        <v>37135</v>
      </c>
      <c r="D25" s="59"/>
    </row>
    <row r="26" spans="2:4" ht="24" customHeight="1" x14ac:dyDescent="0.25">
      <c r="B26" s="120" t="s">
        <v>62</v>
      </c>
      <c r="C26" s="379">
        <v>425924</v>
      </c>
      <c r="D26" s="59"/>
    </row>
    <row r="27" spans="2:4" ht="24" customHeight="1" x14ac:dyDescent="0.25">
      <c r="B27" s="120" t="s">
        <v>63</v>
      </c>
      <c r="C27" s="379">
        <v>30064</v>
      </c>
      <c r="D27" s="59"/>
    </row>
    <row r="28" spans="2:4" ht="24" customHeight="1" thickBot="1" x14ac:dyDescent="0.3">
      <c r="B28" s="120" t="s">
        <v>64</v>
      </c>
      <c r="C28" s="379">
        <v>65229</v>
      </c>
      <c r="D28" s="59"/>
    </row>
    <row r="29" spans="2:4" ht="24" customHeight="1" thickBot="1" x14ac:dyDescent="0.3">
      <c r="B29" s="122" t="s">
        <v>65</v>
      </c>
      <c r="C29" s="393">
        <f>SUM(C9:C28)</f>
        <v>1235456</v>
      </c>
    </row>
    <row r="30" spans="2:4" x14ac:dyDescent="0.25">
      <c r="B30" s="8"/>
      <c r="C30" s="8"/>
    </row>
    <row r="31" spans="2:4" x14ac:dyDescent="0.25">
      <c r="B31" s="8" t="s">
        <v>161</v>
      </c>
      <c r="C31" s="8"/>
    </row>
    <row r="32" spans="2:4" x14ac:dyDescent="0.25">
      <c r="B32" s="966" t="s">
        <v>309</v>
      </c>
      <c r="C32" s="966"/>
    </row>
    <row r="33" spans="2:3" x14ac:dyDescent="0.25">
      <c r="B33" s="966"/>
      <c r="C33" s="966"/>
    </row>
  </sheetData>
  <mergeCells count="5">
    <mergeCell ref="B32:C33"/>
    <mergeCell ref="B2:C2"/>
    <mergeCell ref="B3:C3"/>
    <mergeCell ref="B5:B8"/>
    <mergeCell ref="C5:C8"/>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T35"/>
  <sheetViews>
    <sheetView zoomScaleNormal="100" workbookViewId="0"/>
  </sheetViews>
  <sheetFormatPr baseColWidth="10" defaultRowHeight="15" x14ac:dyDescent="0.25"/>
  <cols>
    <col min="1" max="1" width="3.5703125" customWidth="1"/>
    <col min="2" max="2" width="21.7109375" customWidth="1"/>
    <col min="3" max="3" width="10.42578125" bestFit="1" customWidth="1"/>
    <col min="4" max="4" width="11.85546875" bestFit="1" customWidth="1"/>
    <col min="5" max="5" width="16.85546875" customWidth="1"/>
    <col min="6" max="6" width="13" bestFit="1" customWidth="1"/>
    <col min="7" max="7" width="11.140625" style="9" customWidth="1"/>
    <col min="8" max="8" width="12.140625" style="9" customWidth="1"/>
    <col min="9" max="9" width="13.28515625" customWidth="1"/>
    <col min="10" max="10" width="13.140625" style="117" customWidth="1"/>
    <col min="11" max="11" width="13.85546875" style="117" customWidth="1"/>
    <col min="12" max="14" width="0" hidden="1" customWidth="1"/>
  </cols>
  <sheetData>
    <row r="1" spans="2:14" x14ac:dyDescent="0.25">
      <c r="B1" s="1145" t="s">
        <v>447</v>
      </c>
      <c r="C1" s="1145"/>
      <c r="D1" s="1145"/>
      <c r="E1" s="1145"/>
      <c r="F1" s="1145"/>
      <c r="G1" s="1145"/>
      <c r="H1" s="1145"/>
      <c r="I1" s="1145"/>
      <c r="J1" s="1145"/>
      <c r="K1" s="1145"/>
    </row>
    <row r="2" spans="2:14" x14ac:dyDescent="0.25">
      <c r="B2" s="830"/>
      <c r="C2" s="830"/>
      <c r="D2" s="830"/>
      <c r="E2" s="830"/>
      <c r="F2" s="830"/>
      <c r="G2" s="830"/>
      <c r="H2" s="830"/>
      <c r="I2" s="830"/>
      <c r="J2" s="830"/>
      <c r="K2" s="830"/>
    </row>
    <row r="3" spans="2:14" ht="15.75" thickBot="1" x14ac:dyDescent="0.3">
      <c r="K3" s="725" t="s">
        <v>546</v>
      </c>
    </row>
    <row r="4" spans="2:14" ht="15" customHeight="1" x14ac:dyDescent="0.25">
      <c r="B4" s="1139" t="s">
        <v>216</v>
      </c>
      <c r="C4" s="1146" t="s">
        <v>223</v>
      </c>
      <c r="D4" s="1146" t="s">
        <v>244</v>
      </c>
      <c r="E4" s="1146" t="s">
        <v>241</v>
      </c>
      <c r="F4" s="1146" t="s">
        <v>243</v>
      </c>
      <c r="G4" s="1146" t="s">
        <v>310</v>
      </c>
      <c r="H4" s="1148" t="s">
        <v>242</v>
      </c>
      <c r="I4" s="1146" t="s">
        <v>224</v>
      </c>
      <c r="J4" s="1146" t="s">
        <v>381</v>
      </c>
      <c r="K4" s="1150" t="s">
        <v>82</v>
      </c>
    </row>
    <row r="5" spans="2:14" x14ac:dyDescent="0.25">
      <c r="B5" s="1140"/>
      <c r="C5" s="1147"/>
      <c r="D5" s="1147"/>
      <c r="E5" s="1147"/>
      <c r="F5" s="1147"/>
      <c r="G5" s="1147"/>
      <c r="H5" s="1149"/>
      <c r="I5" s="1147"/>
      <c r="J5" s="1147"/>
      <c r="K5" s="1151"/>
    </row>
    <row r="6" spans="2:14" x14ac:dyDescent="0.25">
      <c r="B6" s="1140"/>
      <c r="C6" s="1147"/>
      <c r="D6" s="1147"/>
      <c r="E6" s="1147"/>
      <c r="F6" s="1147"/>
      <c r="G6" s="1147"/>
      <c r="H6" s="1149"/>
      <c r="I6" s="1147"/>
      <c r="J6" s="1147"/>
      <c r="K6" s="1151"/>
    </row>
    <row r="7" spans="2:14" ht="15.75" thickBot="1" x14ac:dyDescent="0.3">
      <c r="B7" s="1141"/>
      <c r="C7" s="353" t="s">
        <v>70</v>
      </c>
      <c r="D7" s="353" t="s">
        <v>92</v>
      </c>
      <c r="E7" s="353" t="s">
        <v>71</v>
      </c>
      <c r="F7" s="353" t="s">
        <v>93</v>
      </c>
      <c r="G7" s="353" t="s">
        <v>73</v>
      </c>
      <c r="H7" s="353" t="s">
        <v>128</v>
      </c>
      <c r="I7" s="354" t="s">
        <v>129</v>
      </c>
      <c r="J7" s="353" t="s">
        <v>75</v>
      </c>
      <c r="K7" s="355" t="s">
        <v>130</v>
      </c>
      <c r="L7" s="126" t="s">
        <v>101</v>
      </c>
      <c r="M7" s="126" t="s">
        <v>131</v>
      </c>
      <c r="N7" s="127"/>
    </row>
    <row r="8" spans="2:14" x14ac:dyDescent="0.25">
      <c r="B8" s="356" t="s">
        <v>45</v>
      </c>
      <c r="C8" s="357">
        <v>3.65</v>
      </c>
      <c r="D8" s="358">
        <f>$D$28*C8/100</f>
        <v>1608902.6625000001</v>
      </c>
      <c r="E8" s="140">
        <f>'CUADRO 2 -Predial y Agua'!G6</f>
        <v>11882395.140000001</v>
      </c>
      <c r="F8" s="359">
        <f>E8/$E$28*100</f>
        <v>1.1431476809996668</v>
      </c>
      <c r="G8" s="140">
        <f>'CUADRO 1 - CENSO 2020'!C9</f>
        <v>37232</v>
      </c>
      <c r="H8" s="140">
        <f>F8*G8</f>
        <v>42561.674458979593</v>
      </c>
      <c r="I8" s="360">
        <f>H8/H$28*100</f>
        <v>0.18069436310796558</v>
      </c>
      <c r="J8" s="361">
        <f>$J$28*I8/100</f>
        <v>107749.78139952774</v>
      </c>
      <c r="K8" s="362">
        <f t="shared" ref="K8:K27" si="0">D8+J8</f>
        <v>1716652.4438995279</v>
      </c>
      <c r="L8" s="128">
        <f>I8</f>
        <v>0.18069436310796558</v>
      </c>
      <c r="M8" s="127">
        <v>0.307836</v>
      </c>
      <c r="N8" s="128">
        <f>L8-M8</f>
        <v>-0.12714163689203442</v>
      </c>
    </row>
    <row r="9" spans="2:14" x14ac:dyDescent="0.25">
      <c r="B9" s="363" t="s">
        <v>46</v>
      </c>
      <c r="C9" s="357">
        <v>1.49</v>
      </c>
      <c r="D9" s="358">
        <f t="shared" ref="D9:D27" si="1">$D$28*C9/100</f>
        <v>656784.92249999999</v>
      </c>
      <c r="E9" s="140">
        <f>'CUADRO 2 -Predial y Agua'!G7</f>
        <v>7867222.9400000004</v>
      </c>
      <c r="F9" s="359">
        <f t="shared" ref="F9:F27" si="2">E9/$E$28*100</f>
        <v>0.75686741215108089</v>
      </c>
      <c r="G9" s="140">
        <f>'CUADRO 1 - CENSO 2020'!C10</f>
        <v>15393</v>
      </c>
      <c r="H9" s="140">
        <f t="shared" ref="H9:H27" si="3">F9*G9</f>
        <v>11650.460075241588</v>
      </c>
      <c r="I9" s="360">
        <f t="shared" ref="I9:I28" si="4">H9/H$28*100</f>
        <v>4.9461692707590682E-2</v>
      </c>
      <c r="J9" s="361">
        <f t="shared" ref="J9:J27" si="5">$J$28*I9/100</f>
        <v>29494.481649707701</v>
      </c>
      <c r="K9" s="362">
        <f t="shared" si="0"/>
        <v>686279.40414970764</v>
      </c>
      <c r="L9" s="128">
        <f t="shared" ref="L9:L27" si="6">I9</f>
        <v>4.9461692707590682E-2</v>
      </c>
      <c r="M9" s="127">
        <v>5.7023999999999998E-2</v>
      </c>
      <c r="N9" s="128">
        <f t="shared" ref="N9:N27" si="7">L9-M9</f>
        <v>-7.5623072924093163E-3</v>
      </c>
    </row>
    <row r="10" spans="2:14" x14ac:dyDescent="0.25">
      <c r="B10" s="363" t="s">
        <v>47</v>
      </c>
      <c r="C10" s="357">
        <v>1.0900000000000001</v>
      </c>
      <c r="D10" s="358">
        <f t="shared" si="1"/>
        <v>480466.82250000001</v>
      </c>
      <c r="E10" s="140">
        <f>'CUADRO 2 -Predial y Agua'!G8</f>
        <v>3578304.75</v>
      </c>
      <c r="F10" s="359">
        <f t="shared" si="2"/>
        <v>0.34425136756330693</v>
      </c>
      <c r="G10" s="140">
        <f>'CUADRO 1 - CENSO 2020'!C11</f>
        <v>11536</v>
      </c>
      <c r="H10" s="140">
        <f t="shared" si="3"/>
        <v>3971.2837762103086</v>
      </c>
      <c r="I10" s="360">
        <f t="shared" si="4"/>
        <v>1.6859970895997552E-2</v>
      </c>
      <c r="J10" s="361">
        <f t="shared" si="5"/>
        <v>10053.762315544263</v>
      </c>
      <c r="K10" s="362">
        <f t="shared" si="0"/>
        <v>490520.58481554425</v>
      </c>
      <c r="L10" s="128">
        <f t="shared" si="6"/>
        <v>1.6859970895997552E-2</v>
      </c>
      <c r="M10" s="127">
        <v>3.8598E-2</v>
      </c>
      <c r="N10" s="128">
        <f t="shared" si="7"/>
        <v>-2.1738029104002448E-2</v>
      </c>
    </row>
    <row r="11" spans="2:14" x14ac:dyDescent="0.25">
      <c r="B11" s="363" t="s">
        <v>48</v>
      </c>
      <c r="C11" s="357">
        <v>8.82</v>
      </c>
      <c r="D11" s="358">
        <f t="shared" si="1"/>
        <v>3887814.105</v>
      </c>
      <c r="E11" s="140">
        <f>'CUADRO 2 -Predial y Agua'!G9</f>
        <v>449922673.11000001</v>
      </c>
      <c r="F11" s="359">
        <f t="shared" si="2"/>
        <v>43.284881064380052</v>
      </c>
      <c r="G11" s="140">
        <f>'CUADRO 1 - CENSO 2020'!C12</f>
        <v>187632</v>
      </c>
      <c r="H11" s="140">
        <f t="shared" si="3"/>
        <v>8121628.8038717583</v>
      </c>
      <c r="I11" s="360">
        <f t="shared" si="4"/>
        <v>34.48014117793474</v>
      </c>
      <c r="J11" s="361">
        <f t="shared" si="5"/>
        <v>20560838.81447624</v>
      </c>
      <c r="K11" s="362">
        <f t="shared" si="0"/>
        <v>24448652.919476241</v>
      </c>
      <c r="L11" s="128">
        <f t="shared" si="6"/>
        <v>34.48014117793474</v>
      </c>
      <c r="M11" s="127">
        <v>27.722322999999999</v>
      </c>
      <c r="N11" s="128">
        <f t="shared" si="7"/>
        <v>6.757818177934741</v>
      </c>
    </row>
    <row r="12" spans="2:14" x14ac:dyDescent="0.25">
      <c r="B12" s="363" t="s">
        <v>49</v>
      </c>
      <c r="C12" s="357">
        <v>6.63</v>
      </c>
      <c r="D12" s="358">
        <f t="shared" si="1"/>
        <v>2922472.5074999998</v>
      </c>
      <c r="E12" s="140">
        <f>'CUADRO 2 -Predial y Agua'!G10</f>
        <v>81768324.289999992</v>
      </c>
      <c r="F12" s="359">
        <f t="shared" si="2"/>
        <v>7.8665344141502942</v>
      </c>
      <c r="G12" s="140">
        <f>'CUADRO 1 - CENSO 2020'!C13</f>
        <v>77436</v>
      </c>
      <c r="H12" s="140">
        <f t="shared" si="3"/>
        <v>609152.95889414218</v>
      </c>
      <c r="I12" s="360">
        <f t="shared" si="4"/>
        <v>2.5861413429303477</v>
      </c>
      <c r="J12" s="361">
        <f t="shared" si="5"/>
        <v>1542140.8812987038</v>
      </c>
      <c r="K12" s="362">
        <f t="shared" si="0"/>
        <v>4464613.3887987034</v>
      </c>
      <c r="L12" s="128">
        <f t="shared" si="6"/>
        <v>2.5861413429303477</v>
      </c>
      <c r="M12" s="127">
        <v>1.5035639999999999</v>
      </c>
      <c r="N12" s="128">
        <f t="shared" si="7"/>
        <v>1.0825773429303478</v>
      </c>
    </row>
    <row r="13" spans="2:14" x14ac:dyDescent="0.25">
      <c r="B13" s="363" t="s">
        <v>50</v>
      </c>
      <c r="C13" s="357">
        <v>3.22</v>
      </c>
      <c r="D13" s="358">
        <f t="shared" si="1"/>
        <v>1419360.7050000001</v>
      </c>
      <c r="E13" s="140">
        <f>'CUADRO 2 -Predial y Agua'!G11</f>
        <v>149782.22</v>
      </c>
      <c r="F13" s="359">
        <f t="shared" si="2"/>
        <v>1.4409821877711256E-2</v>
      </c>
      <c r="G13" s="140">
        <f>'CUADRO 1 - CENSO 2020'!C14</f>
        <v>47550</v>
      </c>
      <c r="H13" s="140">
        <f t="shared" si="3"/>
        <v>685.18703028517018</v>
      </c>
      <c r="I13" s="360">
        <f t="shared" si="4"/>
        <v>2.9089418031835925E-3</v>
      </c>
      <c r="J13" s="361">
        <f t="shared" si="5"/>
        <v>1734.6298910813273</v>
      </c>
      <c r="K13" s="362">
        <f t="shared" si="0"/>
        <v>1421095.3348910813</v>
      </c>
      <c r="L13" s="128">
        <f t="shared" si="6"/>
        <v>2.9089418031835925E-3</v>
      </c>
      <c r="M13" s="127">
        <v>1.0524E-2</v>
      </c>
      <c r="N13" s="128">
        <f t="shared" si="7"/>
        <v>-7.6150581968164079E-3</v>
      </c>
    </row>
    <row r="14" spans="2:14" x14ac:dyDescent="0.25">
      <c r="B14" s="363" t="s">
        <v>51</v>
      </c>
      <c r="C14" s="357">
        <v>1.1100000000000001</v>
      </c>
      <c r="D14" s="358">
        <f t="shared" si="1"/>
        <v>489282.7275000001</v>
      </c>
      <c r="E14" s="140">
        <f>'CUADRO 2 -Predial y Agua'!G12</f>
        <v>160663.66</v>
      </c>
      <c r="F14" s="359">
        <f t="shared" si="2"/>
        <v>1.5456672513073732E-2</v>
      </c>
      <c r="G14" s="140">
        <f>'CUADRO 1 - CENSO 2020'!C15</f>
        <v>12230</v>
      </c>
      <c r="H14" s="140">
        <f t="shared" si="3"/>
        <v>189.03510483489174</v>
      </c>
      <c r="I14" s="360">
        <f t="shared" si="4"/>
        <v>8.0254309322601758E-4</v>
      </c>
      <c r="J14" s="361">
        <f t="shared" si="5"/>
        <v>478.56414207639529</v>
      </c>
      <c r="K14" s="362">
        <f t="shared" si="0"/>
        <v>489761.29164207651</v>
      </c>
      <c r="L14" s="128">
        <f t="shared" si="6"/>
        <v>8.0254309322601758E-4</v>
      </c>
      <c r="M14" s="127">
        <v>6.78E-4</v>
      </c>
      <c r="N14" s="128">
        <f t="shared" si="7"/>
        <v>1.2454309322601758E-4</v>
      </c>
    </row>
    <row r="15" spans="2:14" x14ac:dyDescent="0.25">
      <c r="B15" s="363" t="s">
        <v>52</v>
      </c>
      <c r="C15" s="357">
        <v>2.71</v>
      </c>
      <c r="D15" s="358">
        <f t="shared" si="1"/>
        <v>1194555.1274999999</v>
      </c>
      <c r="E15" s="140">
        <f>'CUADRO 2 -Predial y Agua'!G13</f>
        <v>15707836.32</v>
      </c>
      <c r="F15" s="359">
        <f t="shared" si="2"/>
        <v>1.5111748474247708</v>
      </c>
      <c r="G15" s="140">
        <f>'CUADRO 1 - CENSO 2020'!C16</f>
        <v>29299</v>
      </c>
      <c r="H15" s="140">
        <f t="shared" si="3"/>
        <v>44275.911854698359</v>
      </c>
      <c r="I15" s="360">
        <f t="shared" si="4"/>
        <v>0.18797210860018762</v>
      </c>
      <c r="J15" s="361">
        <f t="shared" si="5"/>
        <v>112089.57082284127</v>
      </c>
      <c r="K15" s="362">
        <f t="shared" si="0"/>
        <v>1306644.6983228412</v>
      </c>
      <c r="L15" s="128">
        <f t="shared" si="6"/>
        <v>0.18797210860018762</v>
      </c>
      <c r="M15" s="127">
        <v>0.364313</v>
      </c>
      <c r="N15" s="128">
        <f t="shared" si="7"/>
        <v>-0.17634089139981238</v>
      </c>
    </row>
    <row r="16" spans="2:14" x14ac:dyDescent="0.25">
      <c r="B16" s="363" t="s">
        <v>53</v>
      </c>
      <c r="C16" s="357">
        <v>1.69</v>
      </c>
      <c r="D16" s="358">
        <f t="shared" si="1"/>
        <v>744943.97250000003</v>
      </c>
      <c r="E16" s="140">
        <f>'CUADRO 2 -Predial y Agua'!G14</f>
        <v>5242636.2899999991</v>
      </c>
      <c r="F16" s="359">
        <f t="shared" si="2"/>
        <v>0.50436864341124699</v>
      </c>
      <c r="G16" s="140">
        <f>'CUADRO 1 - CENSO 2020'!C17</f>
        <v>19321</v>
      </c>
      <c r="H16" s="140">
        <f t="shared" si="3"/>
        <v>9744.906559348703</v>
      </c>
      <c r="I16" s="360">
        <f t="shared" si="4"/>
        <v>4.1371720137214872E-2</v>
      </c>
      <c r="J16" s="361">
        <f t="shared" si="5"/>
        <v>24670.353431245629</v>
      </c>
      <c r="K16" s="362">
        <f t="shared" si="0"/>
        <v>769614.32593124569</v>
      </c>
      <c r="L16" s="128">
        <f t="shared" si="6"/>
        <v>4.1371720137214872E-2</v>
      </c>
      <c r="M16" s="127">
        <v>6.7258999999999999E-2</v>
      </c>
      <c r="N16" s="128">
        <f t="shared" si="7"/>
        <v>-2.5887279862785127E-2</v>
      </c>
    </row>
    <row r="17" spans="2:20" x14ac:dyDescent="0.25">
      <c r="B17" s="363" t="s">
        <v>54</v>
      </c>
      <c r="C17" s="357">
        <v>1.27</v>
      </c>
      <c r="D17" s="358">
        <f t="shared" si="1"/>
        <v>559809.96750000003</v>
      </c>
      <c r="E17" s="140">
        <f>'CUADRO 2 -Predial y Agua'!G15</f>
        <v>1417630.02</v>
      </c>
      <c r="F17" s="359">
        <f t="shared" si="2"/>
        <v>0.1363833175706452</v>
      </c>
      <c r="G17" s="140">
        <f>'CUADRO 1 - CENSO 2020'!C18</f>
        <v>13719</v>
      </c>
      <c r="H17" s="140">
        <f t="shared" si="3"/>
        <v>1871.0427337516815</v>
      </c>
      <c r="I17" s="360">
        <f t="shared" si="4"/>
        <v>7.943458038731319E-3</v>
      </c>
      <c r="J17" s="361">
        <f t="shared" si="5"/>
        <v>4736.7601983146196</v>
      </c>
      <c r="K17" s="362">
        <f t="shared" si="0"/>
        <v>564546.7276983147</v>
      </c>
      <c r="L17" s="128">
        <f t="shared" si="6"/>
        <v>7.943458038731319E-3</v>
      </c>
      <c r="M17" s="127">
        <v>7.6290000000000004E-3</v>
      </c>
      <c r="N17" s="128">
        <f t="shared" si="7"/>
        <v>3.144580387313186E-4</v>
      </c>
    </row>
    <row r="18" spans="2:20" x14ac:dyDescent="0.25">
      <c r="B18" s="363" t="s">
        <v>55</v>
      </c>
      <c r="C18" s="357">
        <v>3.39</v>
      </c>
      <c r="D18" s="358">
        <f t="shared" si="1"/>
        <v>1494295.8975</v>
      </c>
      <c r="E18" s="140">
        <f>'CUADRO 2 -Predial y Agua'!G16</f>
        <v>3914840.08</v>
      </c>
      <c r="F18" s="359">
        <f t="shared" si="2"/>
        <v>0.37662780156766856</v>
      </c>
      <c r="G18" s="140">
        <f>'CUADRO 1 - CENSO 2020'!C19</f>
        <v>33567</v>
      </c>
      <c r="H18" s="140">
        <f t="shared" si="3"/>
        <v>12642.265415221931</v>
      </c>
      <c r="I18" s="360">
        <f t="shared" si="4"/>
        <v>5.3672373713751546E-2</v>
      </c>
      <c r="J18" s="361">
        <f t="shared" si="5"/>
        <v>32005.351109901592</v>
      </c>
      <c r="K18" s="362">
        <f t="shared" si="0"/>
        <v>1526301.2486099016</v>
      </c>
      <c r="L18" s="128">
        <f t="shared" si="6"/>
        <v>5.3672373713751546E-2</v>
      </c>
      <c r="M18" s="127">
        <v>5.3082999999999998E-2</v>
      </c>
      <c r="N18" s="128">
        <f t="shared" si="7"/>
        <v>5.8937371375154812E-4</v>
      </c>
    </row>
    <row r="19" spans="2:20" x14ac:dyDescent="0.25">
      <c r="B19" s="363" t="s">
        <v>56</v>
      </c>
      <c r="C19" s="357">
        <v>2.21</v>
      </c>
      <c r="D19" s="358">
        <f t="shared" si="1"/>
        <v>974157.50249999994</v>
      </c>
      <c r="E19" s="140">
        <f>'CUADRO 2 -Predial y Agua'!G17</f>
        <v>3308501.2800000003</v>
      </c>
      <c r="F19" s="359">
        <f t="shared" si="2"/>
        <v>0.31829488257671501</v>
      </c>
      <c r="G19" s="140">
        <f>'CUADRO 1 - CENSO 2020'!C20</f>
        <v>24096</v>
      </c>
      <c r="H19" s="140">
        <f t="shared" si="3"/>
        <v>7669.6334905685253</v>
      </c>
      <c r="I19" s="360">
        <f t="shared" si="4"/>
        <v>3.2561208093104435E-2</v>
      </c>
      <c r="J19" s="361">
        <f t="shared" si="5"/>
        <v>19416.56061534258</v>
      </c>
      <c r="K19" s="362">
        <f t="shared" si="0"/>
        <v>993574.06311534252</v>
      </c>
      <c r="L19" s="128">
        <f t="shared" si="6"/>
        <v>3.2561208093104435E-2</v>
      </c>
      <c r="M19" s="127">
        <v>4.0325E-2</v>
      </c>
      <c r="N19" s="128">
        <f t="shared" si="7"/>
        <v>-7.7637919068955646E-3</v>
      </c>
    </row>
    <row r="20" spans="2:20" x14ac:dyDescent="0.25">
      <c r="B20" s="363" t="s">
        <v>57</v>
      </c>
      <c r="C20" s="357">
        <v>3.95</v>
      </c>
      <c r="D20" s="358">
        <f t="shared" si="1"/>
        <v>1741141.2375</v>
      </c>
      <c r="E20" s="140">
        <f>'CUADRO 2 -Predial y Agua'!G18</f>
        <v>9332427.3200000003</v>
      </c>
      <c r="F20" s="359">
        <f t="shared" si="2"/>
        <v>0.89782762845874653</v>
      </c>
      <c r="G20" s="140">
        <f>'CUADRO 1 - CENSO 2020'!C21</f>
        <v>41518</v>
      </c>
      <c r="H20" s="140">
        <f t="shared" si="3"/>
        <v>37276.007478350235</v>
      </c>
      <c r="I20" s="360">
        <f t="shared" si="4"/>
        <v>0.15825421617281318</v>
      </c>
      <c r="J20" s="361">
        <f t="shared" si="5"/>
        <v>94368.506603527392</v>
      </c>
      <c r="K20" s="362">
        <f t="shared" si="0"/>
        <v>1835509.7441035274</v>
      </c>
      <c r="L20" s="128">
        <f t="shared" si="6"/>
        <v>0.15825421617281318</v>
      </c>
      <c r="M20" s="127">
        <v>0.15141299999999999</v>
      </c>
      <c r="N20" s="128">
        <f t="shared" si="7"/>
        <v>6.8412161728131915E-3</v>
      </c>
    </row>
    <row r="21" spans="2:20" x14ac:dyDescent="0.25">
      <c r="B21" s="363" t="s">
        <v>58</v>
      </c>
      <c r="C21" s="357">
        <v>0.75</v>
      </c>
      <c r="D21" s="358">
        <f t="shared" si="1"/>
        <v>330596.4375</v>
      </c>
      <c r="E21" s="140">
        <f>'CUADRO 2 -Predial y Agua'!G19</f>
        <v>2544565.9000000004</v>
      </c>
      <c r="F21" s="359">
        <f t="shared" si="2"/>
        <v>0.24480035998330132</v>
      </c>
      <c r="G21" s="140">
        <f>'CUADRO 1 - CENSO 2020'!C22</f>
        <v>7683</v>
      </c>
      <c r="H21" s="140">
        <f t="shared" si="3"/>
        <v>1880.801165751704</v>
      </c>
      <c r="I21" s="360">
        <f t="shared" si="4"/>
        <v>7.9848871807373708E-3</v>
      </c>
      <c r="J21" s="361">
        <f t="shared" si="5"/>
        <v>4761.464792956871</v>
      </c>
      <c r="K21" s="362">
        <f t="shared" si="0"/>
        <v>335357.90229295689</v>
      </c>
      <c r="L21" s="128">
        <f t="shared" si="6"/>
        <v>7.9848871807373708E-3</v>
      </c>
      <c r="M21" s="127">
        <v>7.8689999999999993E-3</v>
      </c>
      <c r="N21" s="128">
        <f t="shared" si="7"/>
        <v>1.1588718073737153E-4</v>
      </c>
    </row>
    <row r="22" spans="2:20" x14ac:dyDescent="0.25">
      <c r="B22" s="363" t="s">
        <v>59</v>
      </c>
      <c r="C22" s="357">
        <v>2.2799999999999998</v>
      </c>
      <c r="D22" s="358">
        <f t="shared" si="1"/>
        <v>1005013.1699999998</v>
      </c>
      <c r="E22" s="140">
        <f>'CUADRO 2 -Predial y Agua'!G20</f>
        <v>4892870.55</v>
      </c>
      <c r="F22" s="359">
        <f t="shared" si="2"/>
        <v>0.47071937574565992</v>
      </c>
      <c r="G22" s="140">
        <f>'CUADRO 1 - CENSO 2020'!C23</f>
        <v>24911</v>
      </c>
      <c r="H22" s="140">
        <f t="shared" si="3"/>
        <v>11726.090369200134</v>
      </c>
      <c r="I22" s="360">
        <f t="shared" si="4"/>
        <v>4.9782778942383407E-2</v>
      </c>
      <c r="J22" s="361">
        <f t="shared" si="5"/>
        <v>29685.948450410506</v>
      </c>
      <c r="K22" s="362">
        <f t="shared" si="0"/>
        <v>1034699.1184504103</v>
      </c>
      <c r="L22" s="128">
        <f t="shared" si="6"/>
        <v>4.9782778942383407E-2</v>
      </c>
      <c r="M22" s="127">
        <v>8.7175000000000002E-2</v>
      </c>
      <c r="N22" s="128">
        <f t="shared" si="7"/>
        <v>-3.7392221057616595E-2</v>
      </c>
    </row>
    <row r="23" spans="2:20" x14ac:dyDescent="0.25">
      <c r="B23" s="363" t="s">
        <v>60</v>
      </c>
      <c r="C23" s="357">
        <v>8.8800000000000008</v>
      </c>
      <c r="D23" s="358">
        <f t="shared" si="1"/>
        <v>3914261.8200000008</v>
      </c>
      <c r="E23" s="140">
        <f>'CUADRO 2 -Predial y Agua'!G21</f>
        <v>27929195.390000001</v>
      </c>
      <c r="F23" s="359">
        <f t="shared" si="2"/>
        <v>2.6869326062712537</v>
      </c>
      <c r="G23" s="140">
        <f>'CUADRO 1 - CENSO 2020'!C24</f>
        <v>93981</v>
      </c>
      <c r="H23" s="140">
        <f t="shared" si="3"/>
        <v>252520.6132699787</v>
      </c>
      <c r="I23" s="360">
        <f t="shared" si="4"/>
        <v>1.0720689908576879</v>
      </c>
      <c r="J23" s="361">
        <f t="shared" si="5"/>
        <v>639285.01931799273</v>
      </c>
      <c r="K23" s="362">
        <f t="shared" si="0"/>
        <v>4553546.8393179933</v>
      </c>
      <c r="L23" s="128">
        <f t="shared" si="6"/>
        <v>1.0720689908576879</v>
      </c>
      <c r="M23" s="127">
        <v>1.2821199999999999</v>
      </c>
      <c r="N23" s="128">
        <f t="shared" si="7"/>
        <v>-0.21005100914231201</v>
      </c>
    </row>
    <row r="24" spans="2:20" x14ac:dyDescent="0.25">
      <c r="B24" s="363" t="s">
        <v>61</v>
      </c>
      <c r="C24" s="357">
        <v>3.92</v>
      </c>
      <c r="D24" s="358">
        <f t="shared" si="1"/>
        <v>1727917.38</v>
      </c>
      <c r="E24" s="140">
        <f>'CUADRO 2 -Predial y Agua'!G22</f>
        <v>7019368.6100000003</v>
      </c>
      <c r="F24" s="359">
        <f t="shared" si="2"/>
        <v>0.67529945386106349</v>
      </c>
      <c r="G24" s="140">
        <f>'CUADRO 1 - CENSO 2020'!C25</f>
        <v>37135</v>
      </c>
      <c r="H24" s="140">
        <f t="shared" si="3"/>
        <v>25077.245219130593</v>
      </c>
      <c r="I24" s="360">
        <f t="shared" si="4"/>
        <v>0.10646472233465118</v>
      </c>
      <c r="J24" s="361">
        <f t="shared" si="5"/>
        <v>63485.934818374968</v>
      </c>
      <c r="K24" s="362">
        <f t="shared" si="0"/>
        <v>1791403.3148183748</v>
      </c>
      <c r="L24" s="128">
        <f t="shared" si="6"/>
        <v>0.10646472233465118</v>
      </c>
      <c r="M24" s="127">
        <v>0.39474799999999999</v>
      </c>
      <c r="N24" s="128">
        <f t="shared" si="7"/>
        <v>-0.28828327766534878</v>
      </c>
    </row>
    <row r="25" spans="2:20" x14ac:dyDescent="0.25">
      <c r="B25" s="363" t="s">
        <v>62</v>
      </c>
      <c r="C25" s="357">
        <v>35.42</v>
      </c>
      <c r="D25" s="358">
        <f t="shared" si="1"/>
        <v>15612967.755000001</v>
      </c>
      <c r="E25" s="140">
        <f>'CUADRO 2 -Predial y Agua'!G23</f>
        <v>341491450.50999999</v>
      </c>
      <c r="F25" s="359">
        <f t="shared" si="2"/>
        <v>32.853238352391543</v>
      </c>
      <c r="G25" s="140">
        <f>'CUADRO 1 - CENSO 2020'!C26</f>
        <v>425924</v>
      </c>
      <c r="H25" s="140">
        <f t="shared" si="3"/>
        <v>13992982.692004016</v>
      </c>
      <c r="I25" s="360">
        <f t="shared" si="4"/>
        <v>59.406805010675569</v>
      </c>
      <c r="J25" s="361">
        <f t="shared" si="5"/>
        <v>35424847.479719087</v>
      </c>
      <c r="K25" s="362">
        <f t="shared" si="0"/>
        <v>51037815.23471909</v>
      </c>
      <c r="L25" s="128">
        <f t="shared" si="6"/>
        <v>59.406805010675569</v>
      </c>
      <c r="M25" s="127">
        <v>66.428610000000006</v>
      </c>
      <c r="N25" s="128">
        <f t="shared" si="7"/>
        <v>-7.021804989324437</v>
      </c>
    </row>
    <row r="26" spans="2:20" x14ac:dyDescent="0.25">
      <c r="B26" s="363" t="s">
        <v>63</v>
      </c>
      <c r="C26" s="357">
        <v>3</v>
      </c>
      <c r="D26" s="358">
        <f t="shared" si="1"/>
        <v>1322385.75</v>
      </c>
      <c r="E26" s="140">
        <f>'CUADRO 2 -Predial y Agua'!G24</f>
        <v>5251750.58</v>
      </c>
      <c r="F26" s="359">
        <f t="shared" si="2"/>
        <v>0.50524548510475253</v>
      </c>
      <c r="G26" s="140">
        <f>'CUADRO 1 - CENSO 2020'!C27</f>
        <v>30064</v>
      </c>
      <c r="H26" s="140">
        <f t="shared" si="3"/>
        <v>15189.70026418928</v>
      </c>
      <c r="I26" s="360">
        <f t="shared" si="4"/>
        <v>6.4487434997038934E-2</v>
      </c>
      <c r="J26" s="361">
        <f t="shared" si="5"/>
        <v>38454.475858748512</v>
      </c>
      <c r="K26" s="362">
        <f t="shared" si="0"/>
        <v>1360840.2258587484</v>
      </c>
      <c r="L26" s="128">
        <f t="shared" si="6"/>
        <v>6.4487434997038934E-2</v>
      </c>
      <c r="M26" s="127">
        <v>4.3832000000000003E-2</v>
      </c>
      <c r="N26" s="128">
        <f t="shared" si="7"/>
        <v>2.0655434997038931E-2</v>
      </c>
    </row>
    <row r="27" spans="2:20" ht="15.75" thickBot="1" x14ac:dyDescent="0.3">
      <c r="B27" s="363" t="s">
        <v>64</v>
      </c>
      <c r="C27" s="364">
        <v>4.5199999999999996</v>
      </c>
      <c r="D27" s="365">
        <f t="shared" si="1"/>
        <v>1992394.5299999998</v>
      </c>
      <c r="E27" s="144">
        <f>'CUADRO 2 -Predial y Agua'!G25</f>
        <v>56062887.089999996</v>
      </c>
      <c r="F27" s="366">
        <f t="shared" si="2"/>
        <v>5.3935388119974306</v>
      </c>
      <c r="G27" s="140">
        <f>'CUADRO 1 - CENSO 2020'!C28</f>
        <v>65229</v>
      </c>
      <c r="H27" s="144">
        <f t="shared" si="3"/>
        <v>351815.14316778042</v>
      </c>
      <c r="I27" s="367">
        <f t="shared" si="4"/>
        <v>1.4936210577830709</v>
      </c>
      <c r="J27" s="368">
        <f t="shared" si="5"/>
        <v>890660.55908836832</v>
      </c>
      <c r="K27" s="369">
        <f t="shared" si="0"/>
        <v>2883055.0890883682</v>
      </c>
      <c r="L27" s="128">
        <f t="shared" si="6"/>
        <v>1.4936210577830709</v>
      </c>
      <c r="M27" s="127">
        <v>1.431076</v>
      </c>
      <c r="N27" s="128">
        <f t="shared" si="7"/>
        <v>6.2545057783070845E-2</v>
      </c>
    </row>
    <row r="28" spans="2:20" ht="15.75" thickBot="1" x14ac:dyDescent="0.3">
      <c r="B28" s="370" t="s">
        <v>65</v>
      </c>
      <c r="C28" s="371">
        <f t="shared" ref="C28:H28" si="8">SUM(C8:C27)</f>
        <v>100.00000000000001</v>
      </c>
      <c r="D28" s="372">
        <f>Datos!K35</f>
        <v>44079525</v>
      </c>
      <c r="E28" s="959">
        <f t="shared" si="8"/>
        <v>1039445326.0500001</v>
      </c>
      <c r="F28" s="373">
        <f t="shared" si="8"/>
        <v>99.999999999999986</v>
      </c>
      <c r="G28" s="104">
        <f t="shared" si="8"/>
        <v>1235456</v>
      </c>
      <c r="H28" s="104">
        <f t="shared" si="8"/>
        <v>23554511.456203438</v>
      </c>
      <c r="I28" s="306">
        <f t="shared" si="4"/>
        <v>100</v>
      </c>
      <c r="J28" s="374">
        <f>Datos!K36</f>
        <v>59630958.900000006</v>
      </c>
      <c r="K28" s="375">
        <f>SUM(K8:K27)</f>
        <v>103710483.89999999</v>
      </c>
      <c r="L28" s="129">
        <f t="shared" ref="L28:N28" si="9">SUM(L8:L27)</f>
        <v>100</v>
      </c>
      <c r="M28" s="129">
        <f t="shared" si="9"/>
        <v>99.999999000000003</v>
      </c>
      <c r="N28" s="129">
        <f t="shared" si="9"/>
        <v>9.9999998859345851E-7</v>
      </c>
    </row>
    <row r="29" spans="2:20" x14ac:dyDescent="0.25">
      <c r="B29" s="1125" t="s">
        <v>271</v>
      </c>
      <c r="C29" s="1125"/>
      <c r="D29" s="1125"/>
      <c r="E29" s="1125"/>
      <c r="F29" s="1125"/>
      <c r="G29" s="1125"/>
      <c r="H29" s="83"/>
      <c r="I29" s="5"/>
    </row>
    <row r="30" spans="2:20" x14ac:dyDescent="0.25">
      <c r="B30" s="1144" t="s">
        <v>270</v>
      </c>
      <c r="C30" s="1144"/>
      <c r="D30" s="1144"/>
      <c r="E30" s="1144"/>
      <c r="F30" s="1144"/>
      <c r="G30" s="1144"/>
      <c r="H30" s="1144"/>
      <c r="I30" s="1144"/>
      <c r="J30" s="1144"/>
      <c r="K30" s="1144"/>
    </row>
    <row r="31" spans="2:20" ht="41.25" customHeight="1" x14ac:dyDescent="0.25">
      <c r="B31" s="1143" t="s">
        <v>273</v>
      </c>
      <c r="C31" s="1143"/>
      <c r="D31" s="1143"/>
      <c r="E31" s="1143"/>
      <c r="F31" s="1143"/>
      <c r="G31" s="1143"/>
      <c r="H31" s="1143"/>
      <c r="I31" s="1143"/>
      <c r="J31" s="1143"/>
      <c r="K31" s="1143"/>
    </row>
    <row r="32" spans="2:20" ht="15" customHeight="1" x14ac:dyDescent="0.25">
      <c r="B32" s="1138" t="s">
        <v>318</v>
      </c>
      <c r="C32" s="1070"/>
      <c r="D32" s="1070"/>
      <c r="E32" s="1070"/>
      <c r="F32" s="1070"/>
      <c r="G32" s="1070"/>
      <c r="H32" s="1070"/>
      <c r="I32" s="1070"/>
      <c r="J32" s="1070"/>
      <c r="K32" s="1070"/>
      <c r="L32" s="432"/>
      <c r="M32" s="432"/>
      <c r="N32" s="432"/>
      <c r="O32" s="432"/>
      <c r="P32" s="432"/>
      <c r="Q32" s="432"/>
      <c r="R32" s="432"/>
      <c r="S32" s="432"/>
      <c r="T32" s="432"/>
    </row>
    <row r="33" spans="2:20" ht="23.25" customHeight="1" x14ac:dyDescent="0.25">
      <c r="B33" s="1070" t="s">
        <v>274</v>
      </c>
      <c r="C33" s="1070"/>
      <c r="D33" s="1070"/>
      <c r="E33" s="1070"/>
      <c r="F33" s="1070"/>
      <c r="G33" s="1070"/>
      <c r="H33" s="1070"/>
      <c r="I33" s="1070"/>
      <c r="J33" s="1070"/>
      <c r="K33" s="1070"/>
      <c r="L33" s="432"/>
      <c r="M33" s="432"/>
      <c r="N33" s="432"/>
      <c r="O33" s="432"/>
      <c r="P33" s="432"/>
      <c r="Q33" s="432"/>
      <c r="R33" s="432"/>
      <c r="S33" s="432"/>
      <c r="T33" s="432"/>
    </row>
    <row r="34" spans="2:20" ht="24.75" customHeight="1" x14ac:dyDescent="0.25">
      <c r="B34" s="1143"/>
      <c r="C34" s="1143"/>
      <c r="D34" s="1143"/>
      <c r="E34" s="1143"/>
      <c r="F34" s="1143"/>
      <c r="G34" s="1143"/>
      <c r="H34" s="1143"/>
      <c r="I34" s="1143"/>
      <c r="J34" s="1143"/>
      <c r="K34" s="1143"/>
    </row>
    <row r="35" spans="2:20" x14ac:dyDescent="0.25">
      <c r="F35" s="1142"/>
      <c r="G35" s="1142"/>
      <c r="H35" s="1142"/>
      <c r="I35" s="1142"/>
      <c r="J35" s="1142"/>
      <c r="K35" s="1142"/>
    </row>
  </sheetData>
  <mergeCells count="18">
    <mergeCell ref="B1:K1"/>
    <mergeCell ref="B4:B7"/>
    <mergeCell ref="E4:E6"/>
    <mergeCell ref="G4:G6"/>
    <mergeCell ref="H4:H6"/>
    <mergeCell ref="I4:I6"/>
    <mergeCell ref="J4:J6"/>
    <mergeCell ref="K4:K6"/>
    <mergeCell ref="F4:F6"/>
    <mergeCell ref="D4:D6"/>
    <mergeCell ref="C4:C6"/>
    <mergeCell ref="F35:K35"/>
    <mergeCell ref="B29:G29"/>
    <mergeCell ref="B34:K34"/>
    <mergeCell ref="B30:K30"/>
    <mergeCell ref="B31:K31"/>
    <mergeCell ref="B32:K32"/>
    <mergeCell ref="B33:K33"/>
  </mergeCells>
  <pageMargins left="0.70866141732283472" right="0.36" top="0.74803149606299213" bottom="0.74803149606299213" header="0.31496062992125984" footer="0.31496062992125984"/>
  <pageSetup scale="92" orientation="landscape" r:id="rId1"/>
  <ignoredErrors>
    <ignoredError sqref="C7:G7 J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L31"/>
  <sheetViews>
    <sheetView zoomScaleNormal="100" workbookViewId="0"/>
  </sheetViews>
  <sheetFormatPr baseColWidth="10" defaultRowHeight="15" x14ac:dyDescent="0.25"/>
  <cols>
    <col min="1" max="1" width="3.5703125" customWidth="1"/>
    <col min="2" max="2" width="21.7109375" customWidth="1"/>
    <col min="3" max="3" width="13" style="879" customWidth="1"/>
    <col min="4" max="4" width="15.140625" customWidth="1"/>
    <col min="5" max="5" width="12.5703125" customWidth="1"/>
    <col min="6" max="6" width="12.42578125" customWidth="1"/>
    <col min="7" max="7" width="17" customWidth="1"/>
    <col min="8" max="8" width="15.85546875" customWidth="1"/>
    <col min="9" max="9" width="15.85546875" bestFit="1" customWidth="1"/>
    <col min="10" max="10" width="15.85546875" customWidth="1"/>
  </cols>
  <sheetData>
    <row r="1" spans="2:12" ht="15" customHeight="1" x14ac:dyDescent="0.25">
      <c r="B1" s="1152" t="s">
        <v>448</v>
      </c>
      <c r="C1" s="1152"/>
      <c r="D1" s="1152"/>
      <c r="E1" s="1152"/>
      <c r="F1" s="1152"/>
      <c r="G1" s="1152"/>
      <c r="H1" s="1152"/>
      <c r="I1" s="1152"/>
      <c r="J1" s="1152"/>
    </row>
    <row r="2" spans="2:12" ht="15" customHeight="1" x14ac:dyDescent="0.25">
      <c r="B2" s="884"/>
      <c r="C2" s="884"/>
      <c r="D2" s="884"/>
      <c r="E2" s="884"/>
      <c r="F2" s="884"/>
      <c r="G2" s="884"/>
      <c r="H2" s="884"/>
      <c r="I2" s="950"/>
      <c r="J2" s="884"/>
    </row>
    <row r="3" spans="2:12" ht="15" customHeight="1" thickBot="1" x14ac:dyDescent="0.3">
      <c r="B3" s="945"/>
      <c r="C3" s="945"/>
      <c r="D3" s="945"/>
      <c r="E3" s="945"/>
      <c r="F3" s="945"/>
      <c r="G3" s="945"/>
      <c r="H3" s="945"/>
      <c r="I3" s="945"/>
      <c r="J3" s="964" t="s">
        <v>547</v>
      </c>
    </row>
    <row r="4" spans="2:12" ht="15" customHeight="1" thickBot="1" x14ac:dyDescent="0.3">
      <c r="B4" s="1153" t="s">
        <v>13</v>
      </c>
      <c r="C4" s="1156" t="s">
        <v>389</v>
      </c>
      <c r="D4" s="1157"/>
      <c r="E4" s="1156" t="s">
        <v>390</v>
      </c>
      <c r="F4" s="1158"/>
      <c r="G4" s="1157"/>
      <c r="H4" s="1159" t="s">
        <v>493</v>
      </c>
      <c r="I4" s="1159" t="s">
        <v>492</v>
      </c>
      <c r="J4" s="1159" t="s">
        <v>82</v>
      </c>
    </row>
    <row r="5" spans="2:12" ht="15" customHeight="1" x14ac:dyDescent="0.25">
      <c r="B5" s="1154"/>
      <c r="C5" s="1163" t="s">
        <v>396</v>
      </c>
      <c r="D5" s="1161" t="s">
        <v>400</v>
      </c>
      <c r="E5" s="1159" t="s">
        <v>397</v>
      </c>
      <c r="F5" s="1159" t="s">
        <v>398</v>
      </c>
      <c r="G5" s="1161" t="s">
        <v>399</v>
      </c>
      <c r="H5" s="1160"/>
      <c r="I5" s="1160"/>
      <c r="J5" s="1160"/>
    </row>
    <row r="6" spans="2:12" x14ac:dyDescent="0.25">
      <c r="B6" s="1154"/>
      <c r="C6" s="1164"/>
      <c r="D6" s="1162"/>
      <c r="E6" s="1160"/>
      <c r="F6" s="1160"/>
      <c r="G6" s="1162"/>
      <c r="H6" s="1160"/>
      <c r="I6" s="1160"/>
      <c r="J6" s="1160"/>
    </row>
    <row r="7" spans="2:12" x14ac:dyDescent="0.25">
      <c r="B7" s="1154"/>
      <c r="C7" s="1164"/>
      <c r="D7" s="1162"/>
      <c r="E7" s="1160"/>
      <c r="F7" s="1160"/>
      <c r="G7" s="1162"/>
      <c r="H7" s="1160"/>
      <c r="I7" s="1160"/>
      <c r="J7" s="1160"/>
    </row>
    <row r="8" spans="2:12" ht="15.75" thickBot="1" x14ac:dyDescent="0.3">
      <c r="B8" s="1155"/>
      <c r="C8" s="886" t="s">
        <v>70</v>
      </c>
      <c r="D8" s="886" t="s">
        <v>392</v>
      </c>
      <c r="E8" s="885" t="s">
        <v>393</v>
      </c>
      <c r="F8" s="886" t="s">
        <v>394</v>
      </c>
      <c r="G8" s="887" t="s">
        <v>395</v>
      </c>
      <c r="H8" s="886" t="s">
        <v>491</v>
      </c>
      <c r="I8" s="886" t="s">
        <v>490</v>
      </c>
      <c r="J8" s="886" t="s">
        <v>494</v>
      </c>
    </row>
    <row r="9" spans="2:12" x14ac:dyDescent="0.25">
      <c r="B9" s="888" t="s">
        <v>45</v>
      </c>
      <c r="C9" s="889">
        <f>'CUADRO 6 -FGP'!E8</f>
        <v>3.0136241193535018</v>
      </c>
      <c r="D9" s="889">
        <f>C9*0.7</f>
        <v>2.1095368835474511</v>
      </c>
      <c r="E9" s="890">
        <f>1/C9</f>
        <v>0.33182638590459818</v>
      </c>
      <c r="F9" s="891">
        <f>E9/$E$29*100</f>
        <v>3.3056094868602481</v>
      </c>
      <c r="G9" s="892">
        <f>F9*0.3</f>
        <v>0.99168284605807444</v>
      </c>
      <c r="H9" s="893">
        <f>$J$29*D9/100</f>
        <v>1451704.5505944041</v>
      </c>
      <c r="I9" s="893">
        <f>$J$29*G9/100</f>
        <v>682439.1228220656</v>
      </c>
      <c r="J9" s="893">
        <f>H9+I9</f>
        <v>2134143.6734164697</v>
      </c>
      <c r="L9" s="98"/>
    </row>
    <row r="10" spans="2:12" x14ac:dyDescent="0.25">
      <c r="B10" s="888" t="s">
        <v>46</v>
      </c>
      <c r="C10" s="889">
        <f>'CUADRO 6 -FGP'!E9</f>
        <v>1.2459367229589724</v>
      </c>
      <c r="D10" s="889">
        <f t="shared" ref="D10:D28" si="0">C10*0.7</f>
        <v>0.87215570607128068</v>
      </c>
      <c r="E10" s="890">
        <f t="shared" ref="E10:E28" si="1">1/C10</f>
        <v>0.80260897810693166</v>
      </c>
      <c r="F10" s="889">
        <f t="shared" ref="F10:F28" si="2">E10/$E$29*100</f>
        <v>7.9954818693419583</v>
      </c>
      <c r="G10" s="892">
        <f t="shared" ref="G10:G28" si="3">F10*0.3</f>
        <v>2.3986445608025875</v>
      </c>
      <c r="H10" s="893">
        <f t="shared" ref="H10:H28" si="4">$J$29*D10/100</f>
        <v>600185.00610495452</v>
      </c>
      <c r="I10" s="893">
        <f t="shared" ref="I10:I28" si="5">$J$29*G10/100</f>
        <v>1650657.6639323817</v>
      </c>
      <c r="J10" s="893">
        <f t="shared" ref="J10:J28" si="6">H10+I10</f>
        <v>2250842.6700373362</v>
      </c>
    </row>
    <row r="11" spans="2:12" x14ac:dyDescent="0.25">
      <c r="B11" s="888" t="s">
        <v>47</v>
      </c>
      <c r="C11" s="889">
        <f>'CUADRO 6 -FGP'!E10</f>
        <v>0.93374430169912959</v>
      </c>
      <c r="D11" s="889">
        <f t="shared" si="0"/>
        <v>0.65362101118939064</v>
      </c>
      <c r="E11" s="890">
        <f t="shared" si="1"/>
        <v>1.0709570041608878</v>
      </c>
      <c r="F11" s="889">
        <f t="shared" si="2"/>
        <v>10.668728538035783</v>
      </c>
      <c r="G11" s="892">
        <f t="shared" si="3"/>
        <v>3.2006185614107348</v>
      </c>
      <c r="H11" s="893">
        <f t="shared" si="4"/>
        <v>449797.58529375383</v>
      </c>
      <c r="I11" s="893">
        <f t="shared" si="5"/>
        <v>2202546.2396767642</v>
      </c>
      <c r="J11" s="893">
        <f t="shared" si="6"/>
        <v>2652343.8249705182</v>
      </c>
    </row>
    <row r="12" spans="2:12" x14ac:dyDescent="0.25">
      <c r="B12" s="888" t="s">
        <v>48</v>
      </c>
      <c r="C12" s="889">
        <f>'CUADRO 6 -FGP'!E11</f>
        <v>15.187266887691669</v>
      </c>
      <c r="D12" s="889">
        <f t="shared" si="0"/>
        <v>10.631086821384168</v>
      </c>
      <c r="E12" s="890">
        <f t="shared" si="1"/>
        <v>6.5844632045706494E-2</v>
      </c>
      <c r="F12" s="889">
        <f t="shared" si="2"/>
        <v>0.6559353010935276</v>
      </c>
      <c r="G12" s="892">
        <f t="shared" si="3"/>
        <v>0.19678059032805828</v>
      </c>
      <c r="H12" s="893">
        <f t="shared" si="4"/>
        <v>7315917.1743964646</v>
      </c>
      <c r="I12" s="893">
        <f t="shared" si="5"/>
        <v>135417.05796938235</v>
      </c>
      <c r="J12" s="893">
        <f t="shared" si="6"/>
        <v>7451334.2323658466</v>
      </c>
    </row>
    <row r="13" spans="2:12" x14ac:dyDescent="0.25">
      <c r="B13" s="888" t="s">
        <v>49</v>
      </c>
      <c r="C13" s="889">
        <f>'CUADRO 6 -FGP'!E12</f>
        <v>6.2678071902196431</v>
      </c>
      <c r="D13" s="889">
        <f t="shared" si="0"/>
        <v>4.3874650331537497</v>
      </c>
      <c r="E13" s="890">
        <f t="shared" si="1"/>
        <v>0.15954543106565422</v>
      </c>
      <c r="F13" s="889">
        <f t="shared" si="2"/>
        <v>1.5893699624823181</v>
      </c>
      <c r="G13" s="892">
        <f t="shared" si="3"/>
        <v>0.47681098874469541</v>
      </c>
      <c r="H13" s="893">
        <f t="shared" si="4"/>
        <v>3019289.6857495774</v>
      </c>
      <c r="I13" s="893">
        <f t="shared" si="5"/>
        <v>328123.52679517475</v>
      </c>
      <c r="J13" s="893">
        <f t="shared" si="6"/>
        <v>3347413.2125447523</v>
      </c>
    </row>
    <row r="14" spans="2:12" x14ac:dyDescent="0.25">
      <c r="B14" s="888" t="s">
        <v>50</v>
      </c>
      <c r="C14" s="889">
        <f>'CUADRO 6 -FGP'!E13</f>
        <v>3.8487813406547868</v>
      </c>
      <c r="D14" s="889">
        <f t="shared" si="0"/>
        <v>2.6941469384583505</v>
      </c>
      <c r="E14" s="890">
        <f t="shared" si="1"/>
        <v>0.25982250262881174</v>
      </c>
      <c r="F14" s="889">
        <f t="shared" si="2"/>
        <v>2.588316559721993</v>
      </c>
      <c r="G14" s="892">
        <f t="shared" si="3"/>
        <v>0.77649496791659789</v>
      </c>
      <c r="H14" s="893">
        <f t="shared" si="4"/>
        <v>1854011.3714214631</v>
      </c>
      <c r="I14" s="893">
        <f t="shared" si="5"/>
        <v>534354.8563808864</v>
      </c>
      <c r="J14" s="893">
        <f t="shared" si="6"/>
        <v>2388366.2278023493</v>
      </c>
    </row>
    <row r="15" spans="2:12" x14ac:dyDescent="0.25">
      <c r="B15" s="888" t="s">
        <v>51</v>
      </c>
      <c r="C15" s="889">
        <f>'CUADRO 6 -FGP'!E14</f>
        <v>0.98991789266473262</v>
      </c>
      <c r="D15" s="889">
        <f t="shared" si="0"/>
        <v>0.69294252486531283</v>
      </c>
      <c r="E15" s="890">
        <f t="shared" si="1"/>
        <v>1.0101847914963207</v>
      </c>
      <c r="F15" s="889">
        <f t="shared" si="2"/>
        <v>10.063323991396631</v>
      </c>
      <c r="G15" s="892">
        <f t="shared" si="3"/>
        <v>3.0189971974189893</v>
      </c>
      <c r="H15" s="893">
        <f t="shared" si="4"/>
        <v>476857.1834381597</v>
      </c>
      <c r="I15" s="893">
        <f t="shared" si="5"/>
        <v>2077561.1954955971</v>
      </c>
      <c r="J15" s="893">
        <f t="shared" si="6"/>
        <v>2554418.3789337566</v>
      </c>
    </row>
    <row r="16" spans="2:12" x14ac:dyDescent="0.25">
      <c r="B16" s="888" t="s">
        <v>52</v>
      </c>
      <c r="C16" s="889">
        <f>'CUADRO 6 -FGP'!E15</f>
        <v>2.3715130283878989</v>
      </c>
      <c r="D16" s="889">
        <f t="shared" si="0"/>
        <v>1.6600591198715291</v>
      </c>
      <c r="E16" s="890">
        <f t="shared" si="1"/>
        <v>0.42167172941056008</v>
      </c>
      <c r="F16" s="889">
        <f t="shared" si="2"/>
        <v>4.2006366229148018</v>
      </c>
      <c r="G16" s="892">
        <f t="shared" si="3"/>
        <v>1.2601909868744405</v>
      </c>
      <c r="H16" s="893">
        <f t="shared" si="4"/>
        <v>1142390.7291540997</v>
      </c>
      <c r="I16" s="893">
        <f t="shared" si="5"/>
        <v>867216.40400393028</v>
      </c>
      <c r="J16" s="893">
        <f t="shared" si="6"/>
        <v>2009607.13315803</v>
      </c>
    </row>
    <row r="17" spans="2:10" x14ac:dyDescent="0.25">
      <c r="B17" s="888" t="s">
        <v>53</v>
      </c>
      <c r="C17" s="889">
        <f>'CUADRO 6 -FGP'!E16</f>
        <v>1.563876010153336</v>
      </c>
      <c r="D17" s="889">
        <f t="shared" si="0"/>
        <v>1.0947132071073351</v>
      </c>
      <c r="E17" s="890">
        <f t="shared" si="1"/>
        <v>0.63943688214895711</v>
      </c>
      <c r="F17" s="889">
        <f t="shared" si="2"/>
        <v>6.3699835626924477</v>
      </c>
      <c r="G17" s="892">
        <f t="shared" si="3"/>
        <v>1.9109950688077342</v>
      </c>
      <c r="H17" s="893">
        <f t="shared" si="4"/>
        <v>753340.77197127417</v>
      </c>
      <c r="I17" s="893">
        <f t="shared" si="5"/>
        <v>1315075.4837177759</v>
      </c>
      <c r="J17" s="893">
        <f t="shared" si="6"/>
        <v>2068416.2556890501</v>
      </c>
    </row>
    <row r="18" spans="2:10" x14ac:dyDescent="0.25">
      <c r="B18" s="888" t="s">
        <v>54</v>
      </c>
      <c r="C18" s="889">
        <f>'CUADRO 6 -FGP'!E17</f>
        <v>1.1104401937422297</v>
      </c>
      <c r="D18" s="889">
        <f t="shared" si="0"/>
        <v>0.77730813561956069</v>
      </c>
      <c r="E18" s="890">
        <f t="shared" si="1"/>
        <v>0.90054377141191044</v>
      </c>
      <c r="F18" s="889">
        <f t="shared" si="2"/>
        <v>8.9710950080020968</v>
      </c>
      <c r="G18" s="892">
        <f t="shared" si="3"/>
        <v>2.691328502400629</v>
      </c>
      <c r="H18" s="893">
        <f t="shared" si="4"/>
        <v>534914.44804481708</v>
      </c>
      <c r="I18" s="893">
        <f t="shared" si="5"/>
        <v>1852071.8289169145</v>
      </c>
      <c r="J18" s="893">
        <f t="shared" si="6"/>
        <v>2386986.2769617317</v>
      </c>
    </row>
    <row r="19" spans="2:10" x14ac:dyDescent="0.25">
      <c r="B19" s="888" t="s">
        <v>55</v>
      </c>
      <c r="C19" s="889">
        <f>'CUADRO 6 -FGP'!E18</f>
        <v>2.7169725186489848</v>
      </c>
      <c r="D19" s="889">
        <f t="shared" si="0"/>
        <v>1.9018807630542893</v>
      </c>
      <c r="E19" s="890">
        <f t="shared" si="1"/>
        <v>0.36805672237614323</v>
      </c>
      <c r="F19" s="889">
        <f t="shared" si="2"/>
        <v>3.6665311888098664</v>
      </c>
      <c r="G19" s="892">
        <f t="shared" si="3"/>
        <v>1.09995935664296</v>
      </c>
      <c r="H19" s="893">
        <f t="shared" si="4"/>
        <v>1308803.3586646533</v>
      </c>
      <c r="I19" s="893">
        <f t="shared" si="5"/>
        <v>756950.97628358658</v>
      </c>
      <c r="J19" s="893">
        <f t="shared" si="6"/>
        <v>2065754.3349482398</v>
      </c>
    </row>
    <row r="20" spans="2:10" x14ac:dyDescent="0.25">
      <c r="B20" s="888" t="s">
        <v>56</v>
      </c>
      <c r="C20" s="889">
        <f>'CUADRO 6 -FGP'!E19</f>
        <v>1.9503729796933278</v>
      </c>
      <c r="D20" s="889">
        <f t="shared" si="0"/>
        <v>1.3652610857853293</v>
      </c>
      <c r="E20" s="890">
        <f t="shared" si="1"/>
        <v>0.51272244355909691</v>
      </c>
      <c r="F20" s="889">
        <f t="shared" si="2"/>
        <v>5.1076714979573694</v>
      </c>
      <c r="G20" s="892">
        <f t="shared" si="3"/>
        <v>1.5323014493872107</v>
      </c>
      <c r="H20" s="893">
        <f t="shared" si="4"/>
        <v>939521.72462190478</v>
      </c>
      <c r="I20" s="893">
        <f t="shared" si="5"/>
        <v>1054472.6685305091</v>
      </c>
      <c r="J20" s="893">
        <f t="shared" si="6"/>
        <v>1993994.3931524139</v>
      </c>
    </row>
    <row r="21" spans="2:10" x14ac:dyDescent="0.25">
      <c r="B21" s="888" t="s">
        <v>57</v>
      </c>
      <c r="C21" s="889">
        <f>'CUADRO 6 -FGP'!E20</f>
        <v>3.3605405615416495</v>
      </c>
      <c r="D21" s="889">
        <f t="shared" si="0"/>
        <v>2.3523783930791544</v>
      </c>
      <c r="E21" s="890">
        <f t="shared" si="1"/>
        <v>0.29757117394864879</v>
      </c>
      <c r="F21" s="889">
        <f t="shared" si="2"/>
        <v>2.9643637076636828</v>
      </c>
      <c r="G21" s="892">
        <f t="shared" si="3"/>
        <v>0.88930911229910481</v>
      </c>
      <c r="H21" s="893">
        <f t="shared" si="4"/>
        <v>1618819.014062593</v>
      </c>
      <c r="I21" s="893">
        <f t="shared" si="5"/>
        <v>611989.34006722749</v>
      </c>
      <c r="J21" s="893">
        <f t="shared" si="6"/>
        <v>2230808.3541298206</v>
      </c>
    </row>
    <row r="22" spans="2:10" x14ac:dyDescent="0.25">
      <c r="B22" s="888" t="s">
        <v>58</v>
      </c>
      <c r="C22" s="889">
        <f>'CUADRO 6 -FGP'!E21</f>
        <v>0.62187564753418989</v>
      </c>
      <c r="D22" s="889">
        <f t="shared" si="0"/>
        <v>0.43531295327393288</v>
      </c>
      <c r="E22" s="890">
        <f t="shared" si="1"/>
        <v>1.6080385266172066</v>
      </c>
      <c r="F22" s="889">
        <f t="shared" si="2"/>
        <v>16.01906187879484</v>
      </c>
      <c r="G22" s="892">
        <f t="shared" si="3"/>
        <v>4.8057185636384521</v>
      </c>
      <c r="H22" s="893">
        <f t="shared" si="4"/>
        <v>299566.12758425029</v>
      </c>
      <c r="I22" s="893">
        <f t="shared" si="5"/>
        <v>3307116.1552663213</v>
      </c>
      <c r="J22" s="893">
        <f t="shared" si="6"/>
        <v>3606682.2828505714</v>
      </c>
    </row>
    <row r="23" spans="2:10" x14ac:dyDescent="0.25">
      <c r="B23" s="888" t="s">
        <v>59</v>
      </c>
      <c r="C23" s="889">
        <f>'CUADRO 6 -FGP'!E22</f>
        <v>2.0163405252797348</v>
      </c>
      <c r="D23" s="889">
        <f t="shared" si="0"/>
        <v>1.4114383676958142</v>
      </c>
      <c r="E23" s="890">
        <f t="shared" si="1"/>
        <v>0.49594797479025327</v>
      </c>
      <c r="F23" s="889">
        <f t="shared" si="2"/>
        <v>4.940566513378859</v>
      </c>
      <c r="G23" s="892">
        <f t="shared" si="3"/>
        <v>1.4821699540136577</v>
      </c>
      <c r="H23" s="893">
        <f t="shared" si="4"/>
        <v>971299.20659264072</v>
      </c>
      <c r="I23" s="893">
        <f t="shared" si="5"/>
        <v>1019974.0444346331</v>
      </c>
      <c r="J23" s="893">
        <f t="shared" si="6"/>
        <v>1991273.2510272739</v>
      </c>
    </row>
    <row r="24" spans="2:10" x14ac:dyDescent="0.25">
      <c r="B24" s="888" t="s">
        <v>60</v>
      </c>
      <c r="C24" s="889">
        <f>'CUADRO 6 -FGP'!E23</f>
        <v>7.6069888365105687</v>
      </c>
      <c r="D24" s="889">
        <f t="shared" si="0"/>
        <v>5.3248921855573981</v>
      </c>
      <c r="E24" s="890">
        <f t="shared" si="1"/>
        <v>0.13145806067183791</v>
      </c>
      <c r="F24" s="889">
        <f t="shared" si="2"/>
        <v>1.3095673850542211</v>
      </c>
      <c r="G24" s="892">
        <f t="shared" si="3"/>
        <v>0.39287021551626633</v>
      </c>
      <c r="H24" s="893">
        <f t="shared" si="4"/>
        <v>3664392.0651432294</v>
      </c>
      <c r="I24" s="893">
        <f t="shared" si="5"/>
        <v>270358.61951789347</v>
      </c>
      <c r="J24" s="893">
        <f t="shared" si="6"/>
        <v>3934750.684661123</v>
      </c>
    </row>
    <row r="25" spans="2:10" x14ac:dyDescent="0.25">
      <c r="B25" s="888" t="s">
        <v>61</v>
      </c>
      <c r="C25" s="889">
        <f>'CUADRO 6 -FGP'!E24</f>
        <v>3.0057727673021133</v>
      </c>
      <c r="D25" s="889">
        <f t="shared" si="0"/>
        <v>2.104040937111479</v>
      </c>
      <c r="E25" s="890">
        <f t="shared" si="1"/>
        <v>0.33269314662717114</v>
      </c>
      <c r="F25" s="889">
        <f t="shared" si="2"/>
        <v>3.3142440397140369</v>
      </c>
      <c r="G25" s="892">
        <f t="shared" si="3"/>
        <v>0.99427321191421103</v>
      </c>
      <c r="H25" s="893">
        <f t="shared" si="4"/>
        <v>1447922.4453782549</v>
      </c>
      <c r="I25" s="893">
        <f t="shared" si="5"/>
        <v>684221.71592597675</v>
      </c>
      <c r="J25" s="893">
        <f t="shared" si="6"/>
        <v>2132144.1613042317</v>
      </c>
    </row>
    <row r="26" spans="2:10" x14ac:dyDescent="0.25">
      <c r="B26" s="888" t="s">
        <v>62</v>
      </c>
      <c r="C26" s="889">
        <f>'CUADRO 6 -FGP'!E25</f>
        <v>34.475044032324909</v>
      </c>
      <c r="D26" s="889">
        <f t="shared" si="0"/>
        <v>24.132530822627434</v>
      </c>
      <c r="E26" s="890">
        <f t="shared" si="1"/>
        <v>2.9006489420647812E-2</v>
      </c>
      <c r="F26" s="889">
        <f t="shared" si="2"/>
        <v>0.28895871661324735</v>
      </c>
      <c r="G26" s="892">
        <f t="shared" si="3"/>
        <v>8.6687614983974204E-2</v>
      </c>
      <c r="H26" s="893">
        <f t="shared" si="4"/>
        <v>16607107.031783707</v>
      </c>
      <c r="I26" s="893">
        <f t="shared" si="5"/>
        <v>59655.181255132717</v>
      </c>
      <c r="J26" s="893">
        <f t="shared" si="6"/>
        <v>16666762.213038839</v>
      </c>
    </row>
    <row r="27" spans="2:10" x14ac:dyDescent="0.25">
      <c r="B27" s="888" t="s">
        <v>63</v>
      </c>
      <c r="C27" s="889">
        <f>'CUADRO 6 -FGP'!E26</f>
        <v>2.4334334852880231</v>
      </c>
      <c r="D27" s="889">
        <f t="shared" si="0"/>
        <v>1.703403439701616</v>
      </c>
      <c r="E27" s="890">
        <f t="shared" si="1"/>
        <v>0.41094199042043644</v>
      </c>
      <c r="F27" s="889">
        <f t="shared" si="2"/>
        <v>4.0937484172026606</v>
      </c>
      <c r="G27" s="892">
        <f t="shared" si="3"/>
        <v>1.2281245251607982</v>
      </c>
      <c r="H27" s="893">
        <f t="shared" si="4"/>
        <v>1172218.6723536248</v>
      </c>
      <c r="I27" s="893">
        <f t="shared" si="5"/>
        <v>845149.46184510214</v>
      </c>
      <c r="J27" s="893">
        <f t="shared" si="6"/>
        <v>2017368.1341987271</v>
      </c>
    </row>
    <row r="28" spans="2:10" ht="15.75" thickBot="1" x14ac:dyDescent="0.3">
      <c r="B28" s="888" t="s">
        <v>64</v>
      </c>
      <c r="C28" s="901">
        <f>'CUADRO 6 -FGP'!E27</f>
        <v>5.2797509583506006</v>
      </c>
      <c r="D28" s="889">
        <f t="shared" si="0"/>
        <v>3.6958256708454202</v>
      </c>
      <c r="E28" s="890">
        <f t="shared" si="1"/>
        <v>0.18940287295528063</v>
      </c>
      <c r="F28" s="889">
        <f t="shared" si="2"/>
        <v>1.8868057522694013</v>
      </c>
      <c r="G28" s="892">
        <f t="shared" si="3"/>
        <v>0.56604172568082034</v>
      </c>
      <c r="H28" s="893">
        <f t="shared" si="4"/>
        <v>2543329.2901461748</v>
      </c>
      <c r="I28" s="893">
        <f t="shared" si="5"/>
        <v>389528.78966274433</v>
      </c>
      <c r="J28" s="893">
        <f t="shared" si="6"/>
        <v>2932858.0798089192</v>
      </c>
    </row>
    <row r="29" spans="2:10" ht="15.75" thickBot="1" x14ac:dyDescent="0.3">
      <c r="B29" s="894" t="s">
        <v>65</v>
      </c>
      <c r="C29" s="895">
        <f t="shared" ref="C29:G29" si="7">SUM(C9:C28)</f>
        <v>100</v>
      </c>
      <c r="D29" s="895">
        <f t="shared" si="7"/>
        <v>70</v>
      </c>
      <c r="E29" s="896">
        <f t="shared" si="7"/>
        <v>10.038281509767062</v>
      </c>
      <c r="F29" s="895">
        <f t="shared" si="7"/>
        <v>99.999999999999986</v>
      </c>
      <c r="G29" s="897">
        <f t="shared" si="7"/>
        <v>29.999999999999993</v>
      </c>
      <c r="H29" s="898">
        <f>SUM(H9:H28)</f>
        <v>48171387.442499995</v>
      </c>
      <c r="I29" s="898">
        <f>SUM(I9:I28)</f>
        <v>20644880.3325</v>
      </c>
      <c r="J29" s="898">
        <f>Datos!K41</f>
        <v>68816267.775000006</v>
      </c>
    </row>
    <row r="30" spans="2:10" x14ac:dyDescent="0.25">
      <c r="B30" s="899" t="s">
        <v>391</v>
      </c>
      <c r="C30" s="900"/>
      <c r="D30" s="5"/>
      <c r="E30" s="5"/>
      <c r="F30" s="5"/>
      <c r="G30" s="5"/>
      <c r="H30" s="74"/>
      <c r="I30" s="74"/>
    </row>
    <row r="31" spans="2:10" x14ac:dyDescent="0.25">
      <c r="C31"/>
      <c r="E31" s="879"/>
      <c r="F31" s="879"/>
      <c r="H31" s="117"/>
      <c r="I31" s="117"/>
    </row>
  </sheetData>
  <mergeCells count="12">
    <mergeCell ref="B1:J1"/>
    <mergeCell ref="B4:B8"/>
    <mergeCell ref="C4:D4"/>
    <mergeCell ref="E4:G4"/>
    <mergeCell ref="H4:H7"/>
    <mergeCell ref="D5:D7"/>
    <mergeCell ref="J4:J7"/>
    <mergeCell ref="C5:C7"/>
    <mergeCell ref="E5:E7"/>
    <mergeCell ref="F5:F7"/>
    <mergeCell ref="G5:G7"/>
    <mergeCell ref="I4:I7"/>
  </mergeCells>
  <pageMargins left="0.70866141732283472" right="0.70866141732283472" top="0.74803149606299213" bottom="0.74803149606299213" header="0.31496062992125984" footer="0.31496062992125984"/>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S29"/>
  <sheetViews>
    <sheetView workbookViewId="0"/>
  </sheetViews>
  <sheetFormatPr baseColWidth="10" defaultRowHeight="15" x14ac:dyDescent="0.25"/>
  <cols>
    <col min="1" max="1" width="3.5703125" customWidth="1"/>
    <col min="2" max="2" width="21.85546875" customWidth="1"/>
    <col min="3" max="3" width="14.42578125" customWidth="1"/>
    <col min="4" max="4" width="13.85546875" customWidth="1"/>
    <col min="5" max="5" width="14.42578125" customWidth="1"/>
    <col min="6" max="6" width="14.140625" customWidth="1"/>
    <col min="7" max="7" width="14.42578125" customWidth="1"/>
    <col min="8" max="8" width="14" customWidth="1"/>
    <col min="9" max="9" width="13.85546875" customWidth="1"/>
    <col min="10" max="10" width="14.85546875" customWidth="1"/>
    <col min="11" max="12" width="15.42578125" style="9" customWidth="1"/>
    <col min="13" max="13" width="15.85546875" customWidth="1"/>
    <col min="14" max="14" width="14.7109375" customWidth="1"/>
    <col min="15" max="15" width="15.140625" customWidth="1"/>
  </cols>
  <sheetData>
    <row r="1" spans="2:19" x14ac:dyDescent="0.25">
      <c r="B1" s="1145" t="s">
        <v>453</v>
      </c>
      <c r="C1" s="1145"/>
      <c r="D1" s="1145"/>
      <c r="E1" s="1145"/>
      <c r="F1" s="1145"/>
      <c r="G1" s="1145"/>
      <c r="H1" s="1145"/>
      <c r="I1" s="1145"/>
      <c r="J1" s="8"/>
      <c r="M1" s="141"/>
    </row>
    <row r="2" spans="2:19" ht="15.75" thickBot="1" x14ac:dyDescent="0.3">
      <c r="I2" s="961" t="s">
        <v>548</v>
      </c>
      <c r="J2" s="142"/>
      <c r="K2" s="142"/>
      <c r="L2" s="142"/>
      <c r="M2" s="142"/>
    </row>
    <row r="3" spans="2:19" ht="15" customHeight="1" x14ac:dyDescent="0.25">
      <c r="B3" s="968" t="s">
        <v>216</v>
      </c>
      <c r="C3" s="288" t="s">
        <v>133</v>
      </c>
      <c r="D3" s="1166" t="s">
        <v>220</v>
      </c>
      <c r="E3" s="376" t="s">
        <v>134</v>
      </c>
      <c r="F3" s="1166" t="s">
        <v>221</v>
      </c>
      <c r="G3" s="376" t="s">
        <v>29</v>
      </c>
      <c r="H3" s="1166" t="s">
        <v>222</v>
      </c>
      <c r="I3" s="971" t="s">
        <v>409</v>
      </c>
      <c r="J3" s="1165"/>
      <c r="K3" s="142"/>
      <c r="L3" s="142"/>
      <c r="M3" s="142"/>
      <c r="N3" s="142"/>
      <c r="O3" s="117"/>
      <c r="P3" s="117"/>
      <c r="Q3" s="125"/>
      <c r="R3" s="125"/>
      <c r="S3" s="125"/>
    </row>
    <row r="4" spans="2:19" x14ac:dyDescent="0.25">
      <c r="B4" s="969"/>
      <c r="C4" s="289" t="s">
        <v>33</v>
      </c>
      <c r="D4" s="1167"/>
      <c r="E4" s="287" t="s">
        <v>33</v>
      </c>
      <c r="F4" s="1167"/>
      <c r="G4" s="287" t="s">
        <v>136</v>
      </c>
      <c r="H4" s="1167"/>
      <c r="I4" s="1116"/>
      <c r="J4" s="1165"/>
      <c r="K4" s="142"/>
      <c r="L4" s="142"/>
      <c r="M4" s="142"/>
      <c r="N4" s="142"/>
      <c r="O4" s="117"/>
      <c r="P4" s="117"/>
      <c r="Q4" s="125"/>
      <c r="R4" s="125"/>
      <c r="S4" s="125"/>
    </row>
    <row r="5" spans="2:19" x14ac:dyDescent="0.25">
      <c r="B5" s="969"/>
      <c r="C5" s="395">
        <v>0.6</v>
      </c>
      <c r="D5" s="377" t="s">
        <v>44</v>
      </c>
      <c r="E5" s="377">
        <v>0.3</v>
      </c>
      <c r="F5" s="377" t="s">
        <v>44</v>
      </c>
      <c r="G5" s="377"/>
      <c r="H5" s="377" t="s">
        <v>44</v>
      </c>
      <c r="I5" s="1116"/>
      <c r="J5" s="142"/>
      <c r="K5" s="142"/>
      <c r="L5" s="142"/>
      <c r="M5" s="142"/>
      <c r="N5" s="142"/>
      <c r="O5" s="117"/>
      <c r="P5" s="117"/>
      <c r="Q5" s="125"/>
      <c r="R5" s="125"/>
      <c r="S5" s="125"/>
    </row>
    <row r="6" spans="2:19" ht="15.75" thickBot="1" x14ac:dyDescent="0.3">
      <c r="B6" s="970"/>
      <c r="C6" s="435" t="s">
        <v>70</v>
      </c>
      <c r="D6" s="436" t="s">
        <v>92</v>
      </c>
      <c r="E6" s="436" t="s">
        <v>71</v>
      </c>
      <c r="F6" s="436" t="s">
        <v>93</v>
      </c>
      <c r="G6" s="436" t="s">
        <v>73</v>
      </c>
      <c r="H6" s="436" t="s">
        <v>95</v>
      </c>
      <c r="I6" s="437" t="s">
        <v>366</v>
      </c>
      <c r="J6" s="130"/>
      <c r="K6" s="130"/>
      <c r="L6" s="130"/>
      <c r="M6" s="130"/>
      <c r="N6" s="142"/>
      <c r="O6" s="130"/>
      <c r="P6" s="130"/>
      <c r="Q6" s="125"/>
      <c r="R6" s="125"/>
      <c r="S6" s="125"/>
    </row>
    <row r="7" spans="2:19" ht="22.5" customHeight="1" x14ac:dyDescent="0.25">
      <c r="B7" s="120" t="s">
        <v>45</v>
      </c>
      <c r="C7" s="396">
        <f>'CUADRO 6 -FGP'!F8</f>
        <v>1.8081744716121011</v>
      </c>
      <c r="D7" s="347">
        <f>Datos!$I$85*'CUADRO 12- FOCO ISAN'!C7/100</f>
        <v>58943.737993226794</v>
      </c>
      <c r="E7" s="378">
        <f>'CUADRO 6 -FGP'!L8</f>
        <v>1.2408640836367339</v>
      </c>
      <c r="F7" s="347">
        <f>Datos!$I$85*'CUADRO 12- FOCO ISAN'!E7/100</f>
        <v>40450.282082502337</v>
      </c>
      <c r="G7" s="378">
        <f>'CUADRO 6 -FGP'!R8</f>
        <v>0.48919944271042803</v>
      </c>
      <c r="H7" s="347">
        <f>Datos!$I$85*'CUADRO 12- FOCO ISAN'!G7/100</f>
        <v>15947.157882307454</v>
      </c>
      <c r="I7" s="379">
        <f t="shared" ref="I7:I26" si="0">D7+F7+H7</f>
        <v>115341.17795803658</v>
      </c>
      <c r="J7" s="114"/>
      <c r="K7" s="132"/>
      <c r="L7" s="97"/>
      <c r="M7" s="97"/>
      <c r="N7" s="132"/>
      <c r="O7" s="133"/>
      <c r="P7" s="134"/>
      <c r="Q7" s="135"/>
      <c r="R7" s="125"/>
      <c r="S7" s="125"/>
    </row>
    <row r="8" spans="2:19" ht="22.5" customHeight="1" x14ac:dyDescent="0.25">
      <c r="B8" s="120" t="s">
        <v>46</v>
      </c>
      <c r="C8" s="396">
        <f>'CUADRO 6 -FGP'!F9</f>
        <v>0.74756203377538344</v>
      </c>
      <c r="D8" s="347">
        <f>Datos!$I$85*'CUADRO 12- FOCO ISAN'!C8/100</f>
        <v>24369.385446114637</v>
      </c>
      <c r="E8" s="378">
        <f>'CUADRO 6 -FGP'!L9</f>
        <v>1.4468222044853001</v>
      </c>
      <c r="F8" s="347">
        <f>Datos!$I$85*'CUADRO 12- FOCO ISAN'!E8/100</f>
        <v>47164.203611353318</v>
      </c>
      <c r="G8" s="378">
        <f>'CUADRO 6 -FGP'!R9</f>
        <v>0.67972961891696937</v>
      </c>
      <c r="H8" s="347">
        <f>Datos!$I$85*'CUADRO 12- FOCO ISAN'!G8/100</f>
        <v>22158.151877875236</v>
      </c>
      <c r="I8" s="379">
        <f t="shared" si="0"/>
        <v>93691.740935343187</v>
      </c>
      <c r="J8" s="114"/>
      <c r="K8" s="132"/>
      <c r="L8" s="159"/>
      <c r="M8" s="97"/>
      <c r="N8" s="132"/>
      <c r="O8" s="133"/>
      <c r="P8" s="134"/>
      <c r="Q8" s="135"/>
      <c r="R8" s="125"/>
      <c r="S8" s="125"/>
    </row>
    <row r="9" spans="2:19" ht="22.5" customHeight="1" x14ac:dyDescent="0.25">
      <c r="B9" s="120" t="s">
        <v>47</v>
      </c>
      <c r="C9" s="396">
        <f>'CUADRO 6 -FGP'!F10</f>
        <v>0.56024658101947777</v>
      </c>
      <c r="D9" s="347">
        <f>Datos!$I$85*'CUADRO 12- FOCO ISAN'!C9/100</f>
        <v>18263.186546246892</v>
      </c>
      <c r="E9" s="378">
        <f>'CUADRO 6 -FGP'!L10</f>
        <v>1.278684048723234</v>
      </c>
      <c r="F9" s="347">
        <f>Datos!$I$85*'CUADRO 12- FOCO ISAN'!E9/100</f>
        <v>41683.155429610342</v>
      </c>
      <c r="G9" s="378">
        <f>'CUADRO 6 -FGP'!R10</f>
        <v>0.81111703612171038</v>
      </c>
      <c r="H9" s="347">
        <f>Datos!$I$85*'CUADRO 12- FOCO ISAN'!G9/100</f>
        <v>26441.181871335077</v>
      </c>
      <c r="I9" s="379">
        <f t="shared" si="0"/>
        <v>86387.523847192308</v>
      </c>
      <c r="J9" s="114"/>
      <c r="K9" s="132"/>
      <c r="L9" s="97"/>
      <c r="M9" s="97"/>
      <c r="N9" s="132"/>
      <c r="O9" s="133"/>
      <c r="P9" s="134"/>
      <c r="Q9" s="135"/>
      <c r="R9" s="125"/>
      <c r="S9" s="125"/>
    </row>
    <row r="10" spans="2:19" ht="22.5" customHeight="1" x14ac:dyDescent="0.25">
      <c r="B10" s="120" t="s">
        <v>48</v>
      </c>
      <c r="C10" s="396">
        <f>'CUADRO 6 -FGP'!F11</f>
        <v>9.1123601326150006</v>
      </c>
      <c r="D10" s="347">
        <f>Datos!$I$85*'CUADRO 12- FOCO ISAN'!C10/100</f>
        <v>297049.08270157734</v>
      </c>
      <c r="E10" s="378">
        <f>'CUADRO 6 -FGP'!L11</f>
        <v>1.5693420145099348</v>
      </c>
      <c r="F10" s="347">
        <f>Datos!$I$85*'CUADRO 12- FOCO ISAN'!E10/100</f>
        <v>51158.163096155309</v>
      </c>
      <c r="G10" s="378">
        <f>'CUADRO 6 -FGP'!R11</f>
        <v>0.13963953885681143</v>
      </c>
      <c r="H10" s="347">
        <f>Datos!$I$85*'CUADRO 12- FOCO ISAN'!G10/100</f>
        <v>4552.0366099033363</v>
      </c>
      <c r="I10" s="379">
        <f t="shared" si="0"/>
        <v>352759.282407636</v>
      </c>
      <c r="J10" s="114"/>
      <c r="K10" s="132"/>
      <c r="L10" s="97"/>
      <c r="M10" s="97"/>
      <c r="N10" s="132"/>
      <c r="O10" s="133"/>
      <c r="P10" s="134"/>
      <c r="Q10" s="135"/>
      <c r="R10" s="125"/>
      <c r="S10" s="125"/>
    </row>
    <row r="11" spans="2:19" ht="22.5" customHeight="1" x14ac:dyDescent="0.25">
      <c r="B11" s="120" t="s">
        <v>49</v>
      </c>
      <c r="C11" s="396">
        <f>'CUADRO 6 -FGP'!F12</f>
        <v>3.7606843141317858</v>
      </c>
      <c r="D11" s="347">
        <f>Datos!$I$85*'CUADRO 12- FOCO ISAN'!C11/100</f>
        <v>122592.58958002551</v>
      </c>
      <c r="E11" s="378">
        <f>'CUADRO 6 -FGP'!L12</f>
        <v>1.6111510911032243</v>
      </c>
      <c r="F11" s="347">
        <f>Datos!$I$85*'CUADRO 12- FOCO ISAN'!E11/100</f>
        <v>52521.075411943319</v>
      </c>
      <c r="G11" s="378">
        <f>'CUADRO 6 -FGP'!R12</f>
        <v>0.27766821756614929</v>
      </c>
      <c r="H11" s="347">
        <f>Datos!$I$85*'CUADRO 12- FOCO ISAN'!G11/100</f>
        <v>9051.561628714604</v>
      </c>
      <c r="I11" s="379">
        <f t="shared" si="0"/>
        <v>184165.22662068345</v>
      </c>
      <c r="J11" s="114"/>
      <c r="K11" s="132"/>
      <c r="L11" s="97"/>
      <c r="M11" s="97"/>
      <c r="N11" s="132"/>
      <c r="O11" s="133"/>
      <c r="P11" s="134"/>
      <c r="Q11" s="135"/>
      <c r="R11" s="125"/>
      <c r="S11" s="125"/>
    </row>
    <row r="12" spans="2:19" ht="22.5" customHeight="1" x14ac:dyDescent="0.25">
      <c r="B12" s="120" t="s">
        <v>50</v>
      </c>
      <c r="C12" s="396">
        <f>'CUADRO 6 -FGP'!F13</f>
        <v>2.3092688043928722</v>
      </c>
      <c r="D12" s="347">
        <f>Datos!$I$85*'CUADRO 12- FOCO ISAN'!C12/100</f>
        <v>75278.651202673369</v>
      </c>
      <c r="E12" s="378">
        <f>'CUADRO 6 -FGP'!L13</f>
        <v>2.6405590501779712</v>
      </c>
      <c r="F12" s="347">
        <f>Datos!$I$85*'CUADRO 12- FOCO ISAN'!E12/100</f>
        <v>86078.209405626316</v>
      </c>
      <c r="G12" s="378">
        <f>'CUADRO 6 -FGP'!R13</f>
        <v>0.30134138112559899</v>
      </c>
      <c r="H12" s="347">
        <f>Datos!$I$85*'CUADRO 12- FOCO ISAN'!G12/100</f>
        <v>9823.2707597891804</v>
      </c>
      <c r="I12" s="379">
        <f t="shared" si="0"/>
        <v>171180.13136808886</v>
      </c>
      <c r="J12" s="114"/>
      <c r="K12" s="132"/>
      <c r="L12" s="97"/>
      <c r="M12" s="97"/>
      <c r="N12" s="132"/>
      <c r="O12" s="133"/>
      <c r="P12" s="134"/>
      <c r="Q12" s="135"/>
      <c r="R12" s="125"/>
      <c r="S12" s="125"/>
    </row>
    <row r="13" spans="2:19" ht="22.5" customHeight="1" x14ac:dyDescent="0.25">
      <c r="B13" s="120" t="s">
        <v>51</v>
      </c>
      <c r="C13" s="396">
        <f>'CUADRO 6 -FGP'!F14</f>
        <v>0.5939507355988396</v>
      </c>
      <c r="D13" s="347">
        <f>Datos!$I$85*'CUADRO 12- FOCO ISAN'!C13/100</f>
        <v>19361.890729941009</v>
      </c>
      <c r="E13" s="378">
        <f>'CUADRO 6 -FGP'!L14</f>
        <v>1.3138504289836488</v>
      </c>
      <c r="F13" s="347">
        <f>Datos!$I$85*'CUADRO 12- FOCO ISAN'!E13/100</f>
        <v>42829.525946827074</v>
      </c>
      <c r="G13" s="378">
        <f>'CUADRO 6 -FGP'!R14</f>
        <v>0.78183617335025801</v>
      </c>
      <c r="H13" s="347">
        <f>Datos!$I$85*'CUADRO 12- FOCO ISAN'!G13/100</f>
        <v>25486.670273857791</v>
      </c>
      <c r="I13" s="379">
        <f t="shared" si="0"/>
        <v>87678.086950625875</v>
      </c>
      <c r="J13" s="114"/>
      <c r="K13" s="132"/>
      <c r="L13" s="97"/>
      <c r="M13" s="97"/>
      <c r="N13" s="132"/>
      <c r="O13" s="133"/>
      <c r="P13" s="134"/>
      <c r="Q13" s="135"/>
      <c r="R13" s="125"/>
      <c r="S13" s="125"/>
    </row>
    <row r="14" spans="2:19" ht="22.5" customHeight="1" x14ac:dyDescent="0.25">
      <c r="B14" s="120" t="s">
        <v>52</v>
      </c>
      <c r="C14" s="396">
        <f>'CUADRO 6 -FGP'!F15</f>
        <v>1.4229078170327394</v>
      </c>
      <c r="D14" s="347">
        <f>Datos!$I$85*'CUADRO 12- FOCO ISAN'!C14/100</f>
        <v>46384.630948204554</v>
      </c>
      <c r="E14" s="378">
        <f>'CUADRO 6 -FGP'!L15</f>
        <v>1.3323778785144245</v>
      </c>
      <c r="F14" s="347">
        <f>Datos!$I$85*'CUADRO 12- FOCO ISAN'!E14/100</f>
        <v>43433.492625911487</v>
      </c>
      <c r="G14" s="378">
        <f>'CUADRO 6 -FGP'!R15</f>
        <v>0.54135509956042094</v>
      </c>
      <c r="H14" s="347">
        <f>Datos!$I$85*'CUADRO 12- FOCO ISAN'!G14/100</f>
        <v>17647.352979902069</v>
      </c>
      <c r="I14" s="379">
        <f t="shared" si="0"/>
        <v>107465.4765540181</v>
      </c>
      <c r="J14" s="114"/>
      <c r="K14" s="132"/>
      <c r="L14" s="97"/>
      <c r="M14" s="97"/>
      <c r="N14" s="132"/>
      <c r="O14" s="133"/>
      <c r="P14" s="134"/>
      <c r="Q14" s="135"/>
      <c r="R14" s="125"/>
      <c r="S14" s="125"/>
    </row>
    <row r="15" spans="2:19" ht="22.5" customHeight="1" x14ac:dyDescent="0.25">
      <c r="B15" s="120" t="s">
        <v>53</v>
      </c>
      <c r="C15" s="396">
        <f>'CUADRO 6 -FGP'!F16</f>
        <v>0.93832560609200155</v>
      </c>
      <c r="D15" s="347">
        <f>Datos!$I$85*'CUADRO 12- FOCO ISAN'!C15/100</f>
        <v>30587.987799933791</v>
      </c>
      <c r="E15" s="378">
        <f>'CUADRO 6 -FGP'!L16</f>
        <v>1.3188166311596592</v>
      </c>
      <c r="F15" s="347">
        <f>Datos!$I$85*'CUADRO 12- FOCO ISAN'!E15/100</f>
        <v>42991.416585413062</v>
      </c>
      <c r="G15" s="378">
        <f>'CUADRO 6 -FGP'!R16</f>
        <v>0.66083029124762838</v>
      </c>
      <c r="H15" s="347">
        <f>Datos!$I$85*'CUADRO 12- FOCO ISAN'!G15/100</f>
        <v>21542.06253700727</v>
      </c>
      <c r="I15" s="379">
        <f t="shared" si="0"/>
        <v>95121.466922354128</v>
      </c>
      <c r="J15" s="114"/>
      <c r="K15" s="132"/>
      <c r="L15" s="97"/>
      <c r="M15" s="97"/>
      <c r="N15" s="132"/>
      <c r="O15" s="133"/>
      <c r="P15" s="134"/>
      <c r="Q15" s="135"/>
      <c r="R15" s="125"/>
      <c r="S15" s="125"/>
    </row>
    <row r="16" spans="2:19" ht="22.5" customHeight="1" x14ac:dyDescent="0.25">
      <c r="B16" s="120" t="s">
        <v>54</v>
      </c>
      <c r="C16" s="396">
        <f>'CUADRO 6 -FGP'!F17</f>
        <v>0.66626411624533777</v>
      </c>
      <c r="D16" s="347">
        <f>Datos!$I$85*'CUADRO 12- FOCO ISAN'!C16/100</f>
        <v>21719.19696844323</v>
      </c>
      <c r="E16" s="378">
        <f>'CUADRO 6 -FGP'!L17</f>
        <v>1.2860124400969288</v>
      </c>
      <c r="F16" s="347">
        <f>Datos!$I$85*'CUADRO 12- FOCO ISAN'!E16/100</f>
        <v>41922.049843741603</v>
      </c>
      <c r="G16" s="378">
        <f>'CUADRO 6 -FGP'!R17</f>
        <v>0.76402493139851979</v>
      </c>
      <c r="H16" s="347">
        <f>Datos!$I$85*'CUADRO 12- FOCO ISAN'!G16/100</f>
        <v>24906.050872677322</v>
      </c>
      <c r="I16" s="379">
        <f t="shared" si="0"/>
        <v>88547.297684862162</v>
      </c>
      <c r="J16" s="114"/>
      <c r="K16" s="132"/>
      <c r="L16" s="97"/>
      <c r="M16" s="97"/>
      <c r="N16" s="132"/>
      <c r="O16" s="133"/>
      <c r="P16" s="134"/>
      <c r="Q16" s="135"/>
      <c r="R16" s="125"/>
      <c r="S16" s="125"/>
    </row>
    <row r="17" spans="2:19" ht="22.5" customHeight="1" x14ac:dyDescent="0.25">
      <c r="B17" s="120" t="s">
        <v>55</v>
      </c>
      <c r="C17" s="396">
        <f>'CUADRO 6 -FGP'!F18</f>
        <v>1.6301835111893908</v>
      </c>
      <c r="D17" s="347">
        <f>Datos!$I$85*'CUADRO 12- FOCO ISAN'!C17/100</f>
        <v>53141.503363199503</v>
      </c>
      <c r="E17" s="378">
        <f>'CUADRO 6 -FGP'!L18</f>
        <v>1.5947173466426192</v>
      </c>
      <c r="F17" s="347">
        <f>Datos!$I$85*'CUADRO 12- FOCO ISAN'!E17/100</f>
        <v>51985.360334144483</v>
      </c>
      <c r="G17" s="378">
        <f>'CUADRO 6 -FGP'!R18</f>
        <v>0.46252211394587867</v>
      </c>
      <c r="H17" s="347">
        <f>Datos!$I$85*'CUADRO 12- FOCO ISAN'!G17/100</f>
        <v>15077.517534130862</v>
      </c>
      <c r="I17" s="379">
        <f t="shared" si="0"/>
        <v>120204.38123147485</v>
      </c>
      <c r="J17" s="114"/>
      <c r="K17" s="132"/>
      <c r="L17" s="97"/>
      <c r="M17" s="97"/>
      <c r="N17" s="132"/>
      <c r="O17" s="133"/>
      <c r="P17" s="134"/>
      <c r="Q17" s="135"/>
      <c r="R17" s="125"/>
      <c r="S17" s="125"/>
    </row>
    <row r="18" spans="2:19" ht="22.5" customHeight="1" x14ac:dyDescent="0.25">
      <c r="B18" s="120" t="s">
        <v>56</v>
      </c>
      <c r="C18" s="396">
        <f>'CUADRO 6 -FGP'!F19</f>
        <v>1.1702237878159967</v>
      </c>
      <c r="D18" s="347">
        <f>Datos!$I$85*'CUADRO 12- FOCO ISAN'!C18/100</f>
        <v>38147.515864976172</v>
      </c>
      <c r="E18" s="378">
        <f>'CUADRO 6 -FGP'!L19</f>
        <v>1.2276857587521393</v>
      </c>
      <c r="F18" s="347">
        <f>Datos!$I$85*'CUADRO 12- FOCO ISAN'!E18/100</f>
        <v>40020.688732202121</v>
      </c>
      <c r="G18" s="378">
        <f>'CUADRO 6 -FGP'!R19</f>
        <v>0.62203679207378126</v>
      </c>
      <c r="H18" s="347">
        <f>Datos!$I$85*'CUADRO 12- FOCO ISAN'!G18/100</f>
        <v>20277.453459153723</v>
      </c>
      <c r="I18" s="379">
        <f t="shared" si="0"/>
        <v>98445.658056332017</v>
      </c>
      <c r="J18" s="114"/>
      <c r="K18" s="132"/>
      <c r="L18" s="97"/>
      <c r="M18" s="97"/>
      <c r="N18" s="132"/>
      <c r="O18" s="133"/>
      <c r="P18" s="134"/>
      <c r="Q18" s="135"/>
      <c r="R18" s="125"/>
      <c r="S18" s="125"/>
    </row>
    <row r="19" spans="2:19" ht="22.5" customHeight="1" x14ac:dyDescent="0.25">
      <c r="B19" s="120" t="s">
        <v>57</v>
      </c>
      <c r="C19" s="396">
        <f>'CUADRO 6 -FGP'!F20</f>
        <v>2.0163243369249897</v>
      </c>
      <c r="D19" s="347">
        <f>Datos!$I$85*'CUADRO 12- FOCO ISAN'!C19/100</f>
        <v>65729.107058519294</v>
      </c>
      <c r="E19" s="378">
        <f>'CUADRO 6 -FGP'!L20</f>
        <v>1.4288257602539771</v>
      </c>
      <c r="F19" s="347">
        <f>Datos!$I$85*'CUADRO 12- FOCO ISAN'!E19/100</f>
        <v>46577.546897504748</v>
      </c>
      <c r="G19" s="378">
        <f>'CUADRO 6 -FGP'!R20</f>
        <v>0.43295296865344507</v>
      </c>
      <c r="H19" s="347">
        <f>Datos!$I$85*'CUADRO 12- FOCO ISAN'!G19/100</f>
        <v>14113.60836487523</v>
      </c>
      <c r="I19" s="379">
        <f t="shared" si="0"/>
        <v>126420.26232089926</v>
      </c>
      <c r="J19" s="114"/>
      <c r="K19" s="132"/>
      <c r="L19" s="97"/>
      <c r="M19" s="97"/>
      <c r="N19" s="132"/>
      <c r="O19" s="133"/>
      <c r="P19" s="134"/>
      <c r="Q19" s="135"/>
      <c r="R19" s="125"/>
      <c r="S19" s="125"/>
    </row>
    <row r="20" spans="2:19" ht="22.5" customHeight="1" x14ac:dyDescent="0.25">
      <c r="B20" s="120" t="s">
        <v>58</v>
      </c>
      <c r="C20" s="396">
        <f>'CUADRO 6 -FGP'!F21</f>
        <v>0.37312538852051391</v>
      </c>
      <c r="D20" s="347">
        <f>Datos!$I$85*'CUADRO 12- FOCO ISAN'!C20/100</f>
        <v>12163.320235334162</v>
      </c>
      <c r="E20" s="378">
        <f>'CUADRO 6 -FGP'!L21</f>
        <v>1.3878779591709738</v>
      </c>
      <c r="F20" s="347">
        <f>Datos!$I$85*'CUADRO 12- FOCO ISAN'!E20/100</f>
        <v>45242.71085356734</v>
      </c>
      <c r="G20" s="378">
        <f>'CUADRO 6 -FGP'!R21</f>
        <v>0.84701029329993749</v>
      </c>
      <c r="H20" s="347">
        <f>Datos!$I$85*'CUADRO 12- FOCO ISAN'!G20/100</f>
        <v>27611.247470674432</v>
      </c>
      <c r="I20" s="379">
        <f t="shared" si="0"/>
        <v>85017.278559575934</v>
      </c>
      <c r="J20" s="114"/>
      <c r="K20" s="132"/>
      <c r="L20" s="97"/>
      <c r="M20" s="97"/>
      <c r="N20" s="132"/>
      <c r="O20" s="133"/>
      <c r="P20" s="134"/>
      <c r="Q20" s="135"/>
      <c r="R20" s="125"/>
      <c r="S20" s="125"/>
    </row>
    <row r="21" spans="2:19" ht="22.5" customHeight="1" x14ac:dyDescent="0.25">
      <c r="B21" s="120" t="s">
        <v>59</v>
      </c>
      <c r="C21" s="396">
        <f>'CUADRO 6 -FGP'!F22</f>
        <v>1.2098043151678408</v>
      </c>
      <c r="D21" s="347">
        <f>Datos!$I$85*'CUADRO 12- FOCO ISAN'!C21/100</f>
        <v>39437.780864559325</v>
      </c>
      <c r="E21" s="378">
        <f>'CUADRO 6 -FGP'!L22</f>
        <v>1.1945610397125102</v>
      </c>
      <c r="F21" s="347">
        <f>Datos!$I$85*'CUADRO 12- FOCO ISAN'!E21/100</f>
        <v>38940.873265926697</v>
      </c>
      <c r="G21" s="378">
        <f>'CUADRO 6 -FGP'!R22</f>
        <v>0.6203666006926658</v>
      </c>
      <c r="H21" s="347">
        <f>Datos!$I$85*'CUADRO 12- FOCO ISAN'!G21/100</f>
        <v>20223.007760072906</v>
      </c>
      <c r="I21" s="379">
        <f t="shared" si="0"/>
        <v>98601.661890558928</v>
      </c>
      <c r="J21" s="114"/>
      <c r="K21" s="132"/>
      <c r="L21" s="97"/>
      <c r="M21" s="97"/>
      <c r="N21" s="132"/>
      <c r="O21" s="133"/>
      <c r="P21" s="134"/>
      <c r="Q21" s="135"/>
      <c r="R21" s="125"/>
      <c r="S21" s="125"/>
    </row>
    <row r="22" spans="2:19" ht="22.5" customHeight="1" x14ac:dyDescent="0.25">
      <c r="B22" s="120" t="s">
        <v>60</v>
      </c>
      <c r="C22" s="396">
        <f>'CUADRO 6 -FGP'!F23</f>
        <v>4.5641933019063412</v>
      </c>
      <c r="D22" s="347">
        <f>Datos!$I$85*'CUADRO 12- FOCO ISAN'!C22/100</f>
        <v>148785.76064518286</v>
      </c>
      <c r="E22" s="378">
        <f>'CUADRO 6 -FGP'!L23</f>
        <v>2.248148988985688</v>
      </c>
      <c r="F22" s="347">
        <f>Datos!$I$85*'CUADRO 12- FOCO ISAN'!E22/100</f>
        <v>73286.238168358439</v>
      </c>
      <c r="G22" s="378">
        <f>'CUADRO 6 -FGP'!R23</f>
        <v>0.21895376044515011</v>
      </c>
      <c r="H22" s="347">
        <f>Datos!$I$85*'CUADRO 12- FOCO ISAN'!G22/100</f>
        <v>7137.5596165806974</v>
      </c>
      <c r="I22" s="379">
        <f t="shared" si="0"/>
        <v>229209.55843012201</v>
      </c>
      <c r="J22" s="114"/>
      <c r="K22" s="132"/>
      <c r="L22" s="97"/>
      <c r="M22" s="97"/>
      <c r="N22" s="132"/>
      <c r="O22" s="133"/>
      <c r="P22" s="134"/>
      <c r="Q22" s="135"/>
      <c r="R22" s="125"/>
      <c r="S22" s="125"/>
    </row>
    <row r="23" spans="2:19" ht="22.5" customHeight="1" x14ac:dyDescent="0.25">
      <c r="B23" s="120" t="s">
        <v>61</v>
      </c>
      <c r="C23" s="396">
        <f>'CUADRO 6 -FGP'!F24</f>
        <v>1.8034636603812679</v>
      </c>
      <c r="D23" s="347">
        <f>Datos!$I$85*'CUADRO 12- FOCO ISAN'!C23/100</f>
        <v>58790.172711067811</v>
      </c>
      <c r="E23" s="378">
        <f>'CUADRO 6 -FGP'!L24</f>
        <v>1.1696349871604024</v>
      </c>
      <c r="F23" s="347">
        <f>Datos!$I$85*'CUADRO 12- FOCO ISAN'!E23/100</f>
        <v>38128.321859022399</v>
      </c>
      <c r="G23" s="378">
        <f>'CUADRO 6 -FGP'!R24</f>
        <v>0.50169474304650796</v>
      </c>
      <c r="H23" s="347">
        <f>Datos!$I$85*'CUADRO 12- FOCO ISAN'!G23/100</f>
        <v>16354.485671035673</v>
      </c>
      <c r="I23" s="379">
        <f t="shared" si="0"/>
        <v>113272.98024112587</v>
      </c>
      <c r="J23" s="114"/>
      <c r="K23" s="132"/>
      <c r="L23" s="97"/>
      <c r="M23" s="97"/>
      <c r="N23" s="132"/>
      <c r="O23" s="133"/>
      <c r="P23" s="134"/>
      <c r="Q23" s="135"/>
      <c r="R23" s="125"/>
      <c r="S23" s="125"/>
    </row>
    <row r="24" spans="2:19" ht="22.5" customHeight="1" x14ac:dyDescent="0.25">
      <c r="B24" s="120" t="s">
        <v>62</v>
      </c>
      <c r="C24" s="396">
        <f>'CUADRO 6 -FGP'!F25</f>
        <v>20.685026419394944</v>
      </c>
      <c r="D24" s="347">
        <f>Datos!$I$85*'CUADRO 12- FOCO ISAN'!C24/100</f>
        <v>674300.40451834793</v>
      </c>
      <c r="E24" s="378">
        <f>'CUADRO 6 -FGP'!L25</f>
        <v>1.3990667556061676</v>
      </c>
      <c r="F24" s="347">
        <f>Datos!$I$85*'CUADRO 12- FOCO ISAN'!E24/100</f>
        <v>45607.448601992473</v>
      </c>
      <c r="G24" s="378">
        <f>'CUADRO 6 -FGP'!R25</f>
        <v>6.754128187245631E-2</v>
      </c>
      <c r="H24" s="347">
        <f>Datos!$I$85*'CUADRO 12- FOCO ISAN'!G24/100</f>
        <v>2201.7430756376684</v>
      </c>
      <c r="I24" s="379">
        <f t="shared" si="0"/>
        <v>722109.596195978</v>
      </c>
      <c r="J24" s="114"/>
      <c r="K24" s="132"/>
      <c r="L24" s="97"/>
      <c r="M24" s="97"/>
      <c r="N24" s="132"/>
      <c r="O24" s="133"/>
      <c r="P24" s="134"/>
      <c r="Q24" s="135"/>
      <c r="R24" s="125"/>
      <c r="S24" s="125"/>
    </row>
    <row r="25" spans="2:19" ht="22.5" customHeight="1" x14ac:dyDescent="0.25">
      <c r="B25" s="120" t="s">
        <v>63</v>
      </c>
      <c r="C25" s="396">
        <f>'CUADRO 6 -FGP'!F26</f>
        <v>1.4600600911728139</v>
      </c>
      <c r="D25" s="347">
        <f>Datos!$I$85*'CUADRO 12- FOCO ISAN'!C25/100</f>
        <v>47595.738585850086</v>
      </c>
      <c r="E25" s="378">
        <f>'CUADRO 6 -FGP'!L26</f>
        <v>1.7487657043856868</v>
      </c>
      <c r="F25" s="347">
        <f>Datos!$I$85*'CUADRO 12- FOCO ISAN'!E25/100</f>
        <v>57007.102527528448</v>
      </c>
      <c r="G25" s="378">
        <f>'CUADRO 6 -FGP'!R26</f>
        <v>0.46483918325978346</v>
      </c>
      <c r="H25" s="347">
        <f>Datos!$I$85*'CUADRO 12- FOCO ISAN'!G25/100</f>
        <v>15153.050470081</v>
      </c>
      <c r="I25" s="379">
        <f t="shared" si="0"/>
        <v>119755.89158345952</v>
      </c>
      <c r="J25" s="114"/>
      <c r="K25" s="132"/>
      <c r="L25" s="97"/>
      <c r="M25" s="97"/>
      <c r="N25" s="132"/>
      <c r="O25" s="133"/>
      <c r="P25" s="134"/>
      <c r="Q25" s="135"/>
      <c r="R25" s="125"/>
      <c r="S25" s="125"/>
    </row>
    <row r="26" spans="2:19" ht="22.5" customHeight="1" thickBot="1" x14ac:dyDescent="0.3">
      <c r="B26" s="120" t="s">
        <v>64</v>
      </c>
      <c r="C26" s="396">
        <f>'CUADRO 6 -FGP'!F27</f>
        <v>3.1678505750103603</v>
      </c>
      <c r="D26" s="347">
        <f>Datos!$I$85*'CUADRO 12- FOCO ISAN'!C26/100</f>
        <v>103267.1112365758</v>
      </c>
      <c r="E26" s="378">
        <f>'CUADRO 6 -FGP'!L27</f>
        <v>1.5622358279387716</v>
      </c>
      <c r="F26" s="347">
        <f>Datos!$I$85*'CUADRO 12- FOCO ISAN'!E26/100</f>
        <v>50926.512220668614</v>
      </c>
      <c r="G26" s="378">
        <f>'CUADRO 6 -FGP'!R27</f>
        <v>0.31534053185589972</v>
      </c>
      <c r="H26" s="347">
        <f>Datos!$I$85*'CUADRO 12- FOCO ISAN'!G26/100</f>
        <v>10279.621784388512</v>
      </c>
      <c r="I26" s="379">
        <f t="shared" si="0"/>
        <v>164473.24524163295</v>
      </c>
      <c r="J26" s="114"/>
      <c r="K26" s="132"/>
      <c r="L26" s="97"/>
      <c r="M26" s="97"/>
      <c r="N26" s="132"/>
      <c r="O26" s="133"/>
      <c r="P26" s="134"/>
      <c r="Q26" s="135"/>
      <c r="R26" s="125"/>
      <c r="S26" s="125"/>
    </row>
    <row r="27" spans="2:19" ht="15.75" thickBot="1" x14ac:dyDescent="0.3">
      <c r="B27" s="394" t="s">
        <v>65</v>
      </c>
      <c r="C27" s="397">
        <f t="shared" ref="C27:I27" si="1">SUM(C7:C26)</f>
        <v>59.999999999999993</v>
      </c>
      <c r="D27" s="53">
        <f t="shared" si="1"/>
        <v>1955908.7549999999</v>
      </c>
      <c r="E27" s="166">
        <f t="shared" si="1"/>
        <v>29.999999999999996</v>
      </c>
      <c r="F27" s="53">
        <f t="shared" si="1"/>
        <v>977954.37749999983</v>
      </c>
      <c r="G27" s="167">
        <f t="shared" si="1"/>
        <v>10</v>
      </c>
      <c r="H27" s="53">
        <f t="shared" si="1"/>
        <v>325984.79249999998</v>
      </c>
      <c r="I27" s="160">
        <f t="shared" si="1"/>
        <v>3259847.9250000003</v>
      </c>
      <c r="J27" s="165"/>
      <c r="K27" s="137"/>
      <c r="L27" s="136"/>
      <c r="M27" s="136"/>
      <c r="N27" s="137"/>
      <c r="O27" s="117"/>
      <c r="P27" s="134"/>
      <c r="Q27" s="135"/>
      <c r="R27" s="125"/>
      <c r="S27" s="125"/>
    </row>
    <row r="28" spans="2:19" x14ac:dyDescent="0.25">
      <c r="B28" s="1125" t="s">
        <v>271</v>
      </c>
      <c r="C28" s="1125"/>
      <c r="D28" s="1125"/>
      <c r="E28" s="1125"/>
      <c r="F28" s="1125"/>
      <c r="G28" s="8"/>
      <c r="H28" s="8"/>
      <c r="I28" s="8"/>
      <c r="J28" s="132"/>
      <c r="K28" s="124"/>
      <c r="L28" s="124"/>
      <c r="M28" s="125"/>
      <c r="N28" s="125"/>
      <c r="O28" s="125"/>
      <c r="P28" s="125"/>
      <c r="Q28" s="125"/>
      <c r="R28" s="125"/>
      <c r="S28" s="125"/>
    </row>
    <row r="29" spans="2:19" x14ac:dyDescent="0.25">
      <c r="B29" s="1121"/>
      <c r="C29" s="1121"/>
      <c r="D29" s="1121"/>
      <c r="E29" s="1121"/>
      <c r="F29" s="1121"/>
      <c r="G29" s="1121"/>
      <c r="H29" s="1121"/>
      <c r="I29" s="1121"/>
    </row>
  </sheetData>
  <mergeCells count="9">
    <mergeCell ref="B29:I29"/>
    <mergeCell ref="B28:F28"/>
    <mergeCell ref="J3:J4"/>
    <mergeCell ref="B1:I1"/>
    <mergeCell ref="B3:B6"/>
    <mergeCell ref="D3:D4"/>
    <mergeCell ref="F3:F4"/>
    <mergeCell ref="H3:H4"/>
    <mergeCell ref="I3:I5"/>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9"/>
  <sheetViews>
    <sheetView workbookViewId="0"/>
  </sheetViews>
  <sheetFormatPr baseColWidth="10" defaultRowHeight="15" x14ac:dyDescent="0.25"/>
  <cols>
    <col min="1" max="1" width="3.5703125" customWidth="1"/>
    <col min="2" max="2" width="21.28515625" customWidth="1"/>
    <col min="3" max="3" width="15.28515625" customWidth="1"/>
    <col min="4" max="4" width="14.5703125" customWidth="1"/>
    <col min="5" max="5" width="14.7109375" customWidth="1"/>
    <col min="6" max="6" width="13.85546875" customWidth="1"/>
    <col min="7" max="7" width="14.42578125" customWidth="1"/>
    <col min="8" max="8" width="13.140625" customWidth="1"/>
    <col min="9" max="9" width="12.140625" customWidth="1"/>
    <col min="10" max="10" width="15.5703125" hidden="1" customWidth="1"/>
    <col min="11" max="11" width="14.140625" hidden="1" customWidth="1"/>
    <col min="12" max="12" width="19" hidden="1" customWidth="1"/>
    <col min="13" max="13" width="17.5703125" hidden="1" customWidth="1"/>
    <col min="14" max="14" width="16.5703125" hidden="1" customWidth="1"/>
    <col min="15" max="15" width="14.85546875" hidden="1" customWidth="1"/>
    <col min="16" max="17" width="15.42578125" style="9" hidden="1" customWidth="1"/>
    <col min="18" max="18" width="15.85546875" customWidth="1"/>
    <col min="19" max="19" width="14.7109375" customWidth="1"/>
    <col min="20" max="20" width="15.140625" customWidth="1"/>
  </cols>
  <sheetData>
    <row r="1" spans="2:24" x14ac:dyDescent="0.25">
      <c r="B1" s="1145" t="s">
        <v>452</v>
      </c>
      <c r="C1" s="1145"/>
      <c r="D1" s="1145"/>
      <c r="E1" s="1145"/>
      <c r="F1" s="1145"/>
      <c r="G1" s="1145"/>
      <c r="H1" s="1145"/>
      <c r="I1" s="1145"/>
      <c r="J1" s="1170"/>
      <c r="K1" s="1170"/>
      <c r="L1" s="8"/>
      <c r="M1" s="8"/>
      <c r="N1" s="8"/>
      <c r="O1" s="8"/>
      <c r="R1" s="141"/>
    </row>
    <row r="2" spans="2:24" ht="15.75" thickBot="1" x14ac:dyDescent="0.3">
      <c r="I2" s="961" t="s">
        <v>549</v>
      </c>
      <c r="L2" s="142"/>
      <c r="M2" s="142"/>
      <c r="N2" s="142"/>
      <c r="O2" s="142"/>
      <c r="P2" s="142"/>
      <c r="Q2" s="142"/>
      <c r="R2" s="142"/>
    </row>
    <row r="3" spans="2:24" ht="15" customHeight="1" x14ac:dyDescent="0.25">
      <c r="B3" s="968" t="s">
        <v>216</v>
      </c>
      <c r="C3" s="288" t="s">
        <v>133</v>
      </c>
      <c r="D3" s="1166" t="s">
        <v>220</v>
      </c>
      <c r="E3" s="376" t="s">
        <v>134</v>
      </c>
      <c r="F3" s="1166" t="s">
        <v>221</v>
      </c>
      <c r="G3" s="376" t="s">
        <v>29</v>
      </c>
      <c r="H3" s="1166" t="s">
        <v>222</v>
      </c>
      <c r="I3" s="971" t="s">
        <v>409</v>
      </c>
      <c r="J3" s="150"/>
      <c r="K3" s="86" t="s">
        <v>135</v>
      </c>
      <c r="L3" s="86"/>
      <c r="M3" s="86" t="s">
        <v>24</v>
      </c>
      <c r="N3" s="1165"/>
      <c r="O3" s="1165"/>
      <c r="P3" s="142"/>
      <c r="Q3" s="142"/>
      <c r="R3" s="142"/>
      <c r="S3" s="142"/>
      <c r="T3" s="117"/>
      <c r="U3" s="117"/>
      <c r="V3" s="125"/>
      <c r="W3" s="125"/>
      <c r="X3" s="125"/>
    </row>
    <row r="4" spans="2:24" x14ac:dyDescent="0.25">
      <c r="B4" s="969"/>
      <c r="C4" s="289" t="s">
        <v>33</v>
      </c>
      <c r="D4" s="1167"/>
      <c r="E4" s="287" t="s">
        <v>33</v>
      </c>
      <c r="F4" s="1167"/>
      <c r="G4" s="287" t="s">
        <v>136</v>
      </c>
      <c r="H4" s="1167"/>
      <c r="I4" s="1116"/>
      <c r="J4" s="151"/>
      <c r="K4" s="13" t="s">
        <v>137</v>
      </c>
      <c r="L4" s="13"/>
      <c r="M4" s="13" t="s">
        <v>162</v>
      </c>
      <c r="N4" s="1165"/>
      <c r="O4" s="1165"/>
      <c r="P4" s="142"/>
      <c r="Q4" s="142"/>
      <c r="R4" s="142"/>
      <c r="S4" s="142"/>
      <c r="T4" s="117"/>
      <c r="U4" s="117"/>
      <c r="V4" s="125"/>
      <c r="W4" s="125"/>
      <c r="X4" s="125"/>
    </row>
    <row r="5" spans="2:24" x14ac:dyDescent="0.25">
      <c r="B5" s="969"/>
      <c r="C5" s="395">
        <v>0.6</v>
      </c>
      <c r="D5" s="377" t="s">
        <v>44</v>
      </c>
      <c r="E5" s="377">
        <v>0.3</v>
      </c>
      <c r="F5" s="377" t="s">
        <v>44</v>
      </c>
      <c r="G5" s="377"/>
      <c r="H5" s="377" t="s">
        <v>44</v>
      </c>
      <c r="I5" s="1116"/>
      <c r="J5" s="152"/>
      <c r="K5" s="13" t="s">
        <v>32</v>
      </c>
      <c r="L5" s="13"/>
      <c r="M5" s="108"/>
      <c r="N5" s="142"/>
      <c r="O5" s="142"/>
      <c r="P5" s="142"/>
      <c r="Q5" s="142"/>
      <c r="R5" s="142"/>
      <c r="S5" s="142"/>
      <c r="T5" s="117"/>
      <c r="U5" s="117"/>
      <c r="V5" s="125"/>
      <c r="W5" s="125"/>
      <c r="X5" s="125"/>
    </row>
    <row r="6" spans="2:24" ht="15.75" thickBot="1" x14ac:dyDescent="0.3">
      <c r="B6" s="970"/>
      <c r="C6" s="435" t="s">
        <v>70</v>
      </c>
      <c r="D6" s="436" t="s">
        <v>92</v>
      </c>
      <c r="E6" s="436" t="s">
        <v>71</v>
      </c>
      <c r="F6" s="436" t="s">
        <v>93</v>
      </c>
      <c r="G6" s="436" t="s">
        <v>73</v>
      </c>
      <c r="H6" s="436" t="s">
        <v>95</v>
      </c>
      <c r="I6" s="438" t="s">
        <v>366</v>
      </c>
      <c r="J6" s="153"/>
      <c r="K6" s="109" t="s">
        <v>163</v>
      </c>
      <c r="L6" s="109"/>
      <c r="M6" s="109" t="s">
        <v>164</v>
      </c>
      <c r="N6" s="130"/>
      <c r="O6" s="130"/>
      <c r="P6" s="130"/>
      <c r="Q6" s="130"/>
      <c r="R6" s="130"/>
      <c r="S6" s="142"/>
      <c r="T6" s="130"/>
      <c r="U6" s="130"/>
      <c r="V6" s="125"/>
      <c r="W6" s="125"/>
      <c r="X6" s="125"/>
    </row>
    <row r="7" spans="2:24" ht="22.5" customHeight="1" x14ac:dyDescent="0.25">
      <c r="B7" s="120" t="s">
        <v>45</v>
      </c>
      <c r="C7" s="396">
        <f>'CUADRO 6 -FGP'!F8</f>
        <v>1.8081744716121011</v>
      </c>
      <c r="D7" s="347">
        <f>Datos!$I$76*'CUADRO 13- Incentivo ISAN'!C7/100</f>
        <v>295516.22102828423</v>
      </c>
      <c r="E7" s="378">
        <f>'CUADRO 6 -FGP'!L8</f>
        <v>1.2408640836367339</v>
      </c>
      <c r="F7" s="347">
        <f>Datos!$I$76*'CUADRO 13- Incentivo ISAN'!E7/100</f>
        <v>202798.71802366528</v>
      </c>
      <c r="G7" s="378">
        <f>'CUADRO 6 -FGP'!R8</f>
        <v>0.48919944271042803</v>
      </c>
      <c r="H7" s="347">
        <f>Datos!$I$76*'CUADRO 13- Incentivo ISAN'!G7/100</f>
        <v>79951.560487433686</v>
      </c>
      <c r="I7" s="379">
        <f t="shared" ref="I7:I26" si="0">D7+F7+H7</f>
        <v>578266.49953938322</v>
      </c>
      <c r="J7" s="154"/>
      <c r="K7" s="155" t="e">
        <f>#REF!+#REF!+G7</f>
        <v>#REF!</v>
      </c>
      <c r="L7" s="132"/>
      <c r="M7" s="156" t="e">
        <f>[1]Datos!K$64*K7%*22.5%</f>
        <v>#REF!</v>
      </c>
      <c r="N7" s="157"/>
      <c r="O7" s="114"/>
      <c r="P7" s="132"/>
      <c r="Q7" s="97"/>
      <c r="R7" s="97"/>
      <c r="S7" s="97"/>
      <c r="T7" s="840"/>
      <c r="U7" s="839"/>
      <c r="V7" s="135"/>
      <c r="W7" s="125"/>
      <c r="X7" s="125"/>
    </row>
    <row r="8" spans="2:24" ht="22.5" customHeight="1" x14ac:dyDescent="0.25">
      <c r="B8" s="120" t="s">
        <v>46</v>
      </c>
      <c r="C8" s="396">
        <f>'CUADRO 6 -FGP'!F9</f>
        <v>0.74756203377538344</v>
      </c>
      <c r="D8" s="347">
        <f>Datos!$I$76*'CUADRO 13- Incentivo ISAN'!C8/100</f>
        <v>122176.65422991996</v>
      </c>
      <c r="E8" s="378">
        <f>'CUADRO 6 -FGP'!L9</f>
        <v>1.4468222044853001</v>
      </c>
      <c r="F8" s="347">
        <f>Datos!$I$76*'CUADRO 13- Incentivo ISAN'!E8/100</f>
        <v>236459.16756479332</v>
      </c>
      <c r="G8" s="378">
        <f>'CUADRO 6 -FGP'!R9</f>
        <v>0.67972961891696937</v>
      </c>
      <c r="H8" s="347">
        <f>Datos!$I$76*'CUADRO 13- Incentivo ISAN'!G8/100</f>
        <v>111090.56756245944</v>
      </c>
      <c r="I8" s="379">
        <f t="shared" si="0"/>
        <v>469726.38935717271</v>
      </c>
      <c r="J8" s="131"/>
      <c r="K8" s="158" t="e">
        <f>#REF!+#REF!+G8</f>
        <v>#REF!</v>
      </c>
      <c r="L8" s="158"/>
      <c r="M8" s="156" t="e">
        <f>[1]Datos!K$64*K8%*22.5%</f>
        <v>#REF!</v>
      </c>
      <c r="N8" s="157"/>
      <c r="O8" s="114"/>
      <c r="P8" s="132"/>
      <c r="Q8" s="159"/>
      <c r="R8" s="97"/>
      <c r="S8" s="97"/>
      <c r="T8" s="840"/>
      <c r="U8" s="839"/>
      <c r="V8" s="135"/>
      <c r="W8" s="125"/>
      <c r="X8" s="125"/>
    </row>
    <row r="9" spans="2:24" ht="22.5" customHeight="1" x14ac:dyDescent="0.25">
      <c r="B9" s="120" t="s">
        <v>47</v>
      </c>
      <c r="C9" s="396">
        <f>'CUADRO 6 -FGP'!F10</f>
        <v>0.56024658101947777</v>
      </c>
      <c r="D9" s="347">
        <f>Datos!$I$76*'CUADRO 13- Incentivo ISAN'!C9/100</f>
        <v>91563.040550663063</v>
      </c>
      <c r="E9" s="378">
        <f>'CUADRO 6 -FGP'!L10</f>
        <v>1.278684048723234</v>
      </c>
      <c r="F9" s="347">
        <f>Datos!$I$76*'CUADRO 13- Incentivo ISAN'!E9/100</f>
        <v>208979.76600175098</v>
      </c>
      <c r="G9" s="378">
        <f>'CUADRO 6 -FGP'!R10</f>
        <v>0.81111703612171038</v>
      </c>
      <c r="H9" s="347">
        <f>Datos!$I$76*'CUADRO 13- Incentivo ISAN'!G9/100</f>
        <v>132563.6685450183</v>
      </c>
      <c r="I9" s="379">
        <f t="shared" si="0"/>
        <v>433106.47509743233</v>
      </c>
      <c r="J9" s="131"/>
      <c r="K9" s="158" t="e">
        <f>#REF!+#REF!+G9</f>
        <v>#REF!</v>
      </c>
      <c r="L9" s="158"/>
      <c r="M9" s="156" t="e">
        <f>[1]Datos!K$64*K9%*22.5%</f>
        <v>#REF!</v>
      </c>
      <c r="N9" s="157"/>
      <c r="O9" s="114"/>
      <c r="P9" s="132"/>
      <c r="Q9" s="97"/>
      <c r="R9" s="97"/>
      <c r="S9" s="97"/>
      <c r="T9" s="840"/>
      <c r="U9" s="839"/>
      <c r="V9" s="135"/>
      <c r="W9" s="125"/>
      <c r="X9" s="125"/>
    </row>
    <row r="10" spans="2:24" ht="22.5" customHeight="1" x14ac:dyDescent="0.25">
      <c r="B10" s="120" t="s">
        <v>48</v>
      </c>
      <c r="C10" s="396">
        <f>'CUADRO 6 -FGP'!F11</f>
        <v>9.1123601326150006</v>
      </c>
      <c r="D10" s="347">
        <f>Datos!$I$76*'CUADRO 13- Incentivo ISAN'!C10/100</f>
        <v>1489264.5999134888</v>
      </c>
      <c r="E10" s="378">
        <f>'CUADRO 6 -FGP'!L11</f>
        <v>1.5693420145099348</v>
      </c>
      <c r="F10" s="347">
        <f>Datos!$I$76*'CUADRO 13- Incentivo ISAN'!E10/100</f>
        <v>256483.00477078091</v>
      </c>
      <c r="G10" s="378">
        <f>'CUADRO 6 -FGP'!R11</f>
        <v>0.13963953885681143</v>
      </c>
      <c r="H10" s="347">
        <f>Datos!$I$76*'CUADRO 13- Incentivo ISAN'!G10/100</f>
        <v>22821.773826010365</v>
      </c>
      <c r="I10" s="379">
        <f t="shared" si="0"/>
        <v>1768569.37851028</v>
      </c>
      <c r="J10" s="131"/>
      <c r="K10" s="158" t="e">
        <f>#REF!+#REF!+G10</f>
        <v>#REF!</v>
      </c>
      <c r="L10" s="158"/>
      <c r="M10" s="156" t="e">
        <f>[1]Datos!K$64*K10%*22.5%</f>
        <v>#REF!</v>
      </c>
      <c r="N10" s="157"/>
      <c r="O10" s="114"/>
      <c r="P10" s="132"/>
      <c r="Q10" s="97"/>
      <c r="R10" s="97"/>
      <c r="S10" s="97"/>
      <c r="T10" s="840"/>
      <c r="U10" s="839"/>
      <c r="V10" s="135"/>
      <c r="W10" s="125"/>
      <c r="X10" s="125"/>
    </row>
    <row r="11" spans="2:24" ht="22.5" customHeight="1" x14ac:dyDescent="0.25">
      <c r="B11" s="120" t="s">
        <v>49</v>
      </c>
      <c r="C11" s="396">
        <f>'CUADRO 6 -FGP'!F12</f>
        <v>3.7606843141317858</v>
      </c>
      <c r="D11" s="347">
        <f>Datos!$I$76*'CUADRO 13- Incentivo ISAN'!C11/100</f>
        <v>614621.6719903904</v>
      </c>
      <c r="E11" s="378">
        <f>'CUADRO 6 -FGP'!L12</f>
        <v>1.6111510911032243</v>
      </c>
      <c r="F11" s="347">
        <f>Datos!$I$76*'CUADRO 13- Incentivo ISAN'!E11/100</f>
        <v>263316.00706868171</v>
      </c>
      <c r="G11" s="378">
        <f>'CUADRO 6 -FGP'!R12</f>
        <v>0.27766821756614929</v>
      </c>
      <c r="H11" s="347">
        <f>Datos!$I$76*'CUADRO 13- Incentivo ISAN'!G11/100</f>
        <v>45380.279194877854</v>
      </c>
      <c r="I11" s="379">
        <f t="shared" si="0"/>
        <v>923317.95825395</v>
      </c>
      <c r="J11" s="131"/>
      <c r="K11" s="158" t="e">
        <f>#REF!+#REF!+G11</f>
        <v>#REF!</v>
      </c>
      <c r="L11" s="158"/>
      <c r="M11" s="156" t="e">
        <f>[1]Datos!K$64*K11%*22.5%</f>
        <v>#REF!</v>
      </c>
      <c r="N11" s="157"/>
      <c r="O11" s="114"/>
      <c r="P11" s="132"/>
      <c r="Q11" s="97"/>
      <c r="R11" s="97"/>
      <c r="S11" s="97"/>
      <c r="T11" s="840"/>
      <c r="U11" s="839"/>
      <c r="V11" s="135"/>
      <c r="W11" s="125"/>
      <c r="X11" s="125"/>
    </row>
    <row r="12" spans="2:24" ht="22.5" customHeight="1" x14ac:dyDescent="0.25">
      <c r="B12" s="120" t="s">
        <v>50</v>
      </c>
      <c r="C12" s="396">
        <f>'CUADRO 6 -FGP'!F13</f>
        <v>2.3092688043928722</v>
      </c>
      <c r="D12" s="347">
        <f>Datos!$I$76*'CUADRO 13- Incentivo ISAN'!C12/100</f>
        <v>377411.80462760309</v>
      </c>
      <c r="E12" s="378">
        <f>'CUADRO 6 -FGP'!L13</f>
        <v>2.6405590501779712</v>
      </c>
      <c r="F12" s="347">
        <f>Datos!$I$76*'CUADRO 13- Incentivo ISAN'!E12/100</f>
        <v>431555.71774825372</v>
      </c>
      <c r="G12" s="378">
        <f>'CUADRO 6 -FGP'!R13</f>
        <v>0.30134138112559899</v>
      </c>
      <c r="H12" s="347">
        <f>Datos!$I$76*'CUADRO 13- Incentivo ISAN'!G12/100</f>
        <v>49249.266366583623</v>
      </c>
      <c r="I12" s="379">
        <f t="shared" si="0"/>
        <v>858216.7887424404</v>
      </c>
      <c r="J12" s="131"/>
      <c r="K12" s="158" t="e">
        <f>#REF!+#REF!+G12</f>
        <v>#REF!</v>
      </c>
      <c r="L12" s="158"/>
      <c r="M12" s="156" t="e">
        <f>[1]Datos!K$64*K12%*22.5%</f>
        <v>#REF!</v>
      </c>
      <c r="N12" s="157"/>
      <c r="O12" s="114"/>
      <c r="P12" s="132"/>
      <c r="Q12" s="97"/>
      <c r="R12" s="97"/>
      <c r="S12" s="97"/>
      <c r="T12" s="840"/>
      <c r="U12" s="839"/>
      <c r="V12" s="135"/>
      <c r="W12" s="125"/>
      <c r="X12" s="125"/>
    </row>
    <row r="13" spans="2:24" ht="22.5" customHeight="1" x14ac:dyDescent="0.25">
      <c r="B13" s="120" t="s">
        <v>51</v>
      </c>
      <c r="C13" s="396">
        <f>'CUADRO 6 -FGP'!F14</f>
        <v>0.5939507355988396</v>
      </c>
      <c r="D13" s="347">
        <f>Datos!$I$76*'CUADRO 13- Incentivo ISAN'!C13/100</f>
        <v>97071.427352167928</v>
      </c>
      <c r="E13" s="378">
        <f>'CUADRO 6 -FGP'!L14</f>
        <v>1.3138504289836488</v>
      </c>
      <c r="F13" s="347">
        <f>Datos!$I$76*'CUADRO 13- Incentivo ISAN'!E13/100</f>
        <v>214727.12941438454</v>
      </c>
      <c r="G13" s="378">
        <f>'CUADRO 6 -FGP'!R14</f>
        <v>0.78183617335025801</v>
      </c>
      <c r="H13" s="347">
        <f>Datos!$I$76*'CUADRO 13- Incentivo ISAN'!G13/100</f>
        <v>127778.19565480947</v>
      </c>
      <c r="I13" s="379">
        <f t="shared" si="0"/>
        <v>439576.75242136198</v>
      </c>
      <c r="J13" s="131"/>
      <c r="K13" s="158" t="e">
        <f>#REF!+#REF!+G13</f>
        <v>#REF!</v>
      </c>
      <c r="L13" s="158"/>
      <c r="M13" s="156" t="e">
        <f>[1]Datos!K$64*K13%*22.5%</f>
        <v>#REF!</v>
      </c>
      <c r="N13" s="157"/>
      <c r="O13" s="114"/>
      <c r="P13" s="132"/>
      <c r="Q13" s="97"/>
      <c r="R13" s="97"/>
      <c r="S13" s="97"/>
      <c r="T13" s="840"/>
      <c r="U13" s="839"/>
      <c r="V13" s="135"/>
      <c r="W13" s="125"/>
      <c r="X13" s="125"/>
    </row>
    <row r="14" spans="2:24" ht="22.5" customHeight="1" x14ac:dyDescent="0.25">
      <c r="B14" s="120" t="s">
        <v>52</v>
      </c>
      <c r="C14" s="396">
        <f>'CUADRO 6 -FGP'!F15</f>
        <v>1.4229078170327394</v>
      </c>
      <c r="D14" s="347">
        <f>Datos!$I$76*'CUADRO 13- Incentivo ISAN'!C14/100</f>
        <v>232550.75633615442</v>
      </c>
      <c r="E14" s="378">
        <f>'CUADRO 6 -FGP'!L15</f>
        <v>1.3323778785144245</v>
      </c>
      <c r="F14" s="347">
        <f>Datos!$I$76*'CUADRO 13- Incentivo ISAN'!E14/100</f>
        <v>217755.13470733928</v>
      </c>
      <c r="G14" s="378">
        <f>'CUADRO 6 -FGP'!R15</f>
        <v>0.54135509956042094</v>
      </c>
      <c r="H14" s="347">
        <f>Datos!$I$76*'CUADRO 13- Incentivo ISAN'!G14/100</f>
        <v>88475.54025793467</v>
      </c>
      <c r="I14" s="379">
        <f t="shared" si="0"/>
        <v>538781.43130142835</v>
      </c>
      <c r="J14" s="131"/>
      <c r="K14" s="158" t="e">
        <f>#REF!+#REF!+G14</f>
        <v>#REF!</v>
      </c>
      <c r="L14" s="158"/>
      <c r="M14" s="156" t="e">
        <f>[1]Datos!K$64*K14%*22.5%</f>
        <v>#REF!</v>
      </c>
      <c r="N14" s="157"/>
      <c r="O14" s="114"/>
      <c r="P14" s="132"/>
      <c r="Q14" s="97"/>
      <c r="R14" s="97"/>
      <c r="S14" s="97"/>
      <c r="T14" s="840"/>
      <c r="U14" s="839"/>
      <c r="V14" s="135"/>
      <c r="W14" s="125"/>
      <c r="X14" s="125"/>
    </row>
    <row r="15" spans="2:24" ht="22.5" customHeight="1" x14ac:dyDescent="0.25">
      <c r="B15" s="120" t="s">
        <v>53</v>
      </c>
      <c r="C15" s="396">
        <f>'CUADRO 6 -FGP'!F16</f>
        <v>0.93832560609200155</v>
      </c>
      <c r="D15" s="347">
        <f>Datos!$I$76*'CUADRO 13- Incentivo ISAN'!C15/100</f>
        <v>153353.8060401665</v>
      </c>
      <c r="E15" s="378">
        <f>'CUADRO 6 -FGP'!L16</f>
        <v>1.3188166311596592</v>
      </c>
      <c r="F15" s="347">
        <f>Datos!$I$76*'CUADRO 13- Incentivo ISAN'!E15/100</f>
        <v>215538.77304886669</v>
      </c>
      <c r="G15" s="378">
        <f>'CUADRO 6 -FGP'!R16</f>
        <v>0.66083029124762838</v>
      </c>
      <c r="H15" s="347">
        <f>Datos!$I$76*'CUADRO 13- Incentivo ISAN'!G15/100</f>
        <v>108001.78493638936</v>
      </c>
      <c r="I15" s="379">
        <f t="shared" si="0"/>
        <v>476894.36402542255</v>
      </c>
      <c r="J15" s="131"/>
      <c r="K15" s="158" t="e">
        <f>#REF!+#REF!+G15</f>
        <v>#REF!</v>
      </c>
      <c r="L15" s="158"/>
      <c r="M15" s="156" t="e">
        <f>[1]Datos!K$64*K15%*22.5%</f>
        <v>#REF!</v>
      </c>
      <c r="N15" s="157"/>
      <c r="O15" s="114"/>
      <c r="P15" s="132"/>
      <c r="Q15" s="97"/>
      <c r="R15" s="97"/>
      <c r="S15" s="97"/>
      <c r="T15" s="840"/>
      <c r="U15" s="839"/>
      <c r="V15" s="135"/>
      <c r="W15" s="125"/>
      <c r="X15" s="125"/>
    </row>
    <row r="16" spans="2:24" ht="22.5" customHeight="1" x14ac:dyDescent="0.25">
      <c r="B16" s="120" t="s">
        <v>54</v>
      </c>
      <c r="C16" s="396">
        <f>'CUADRO 6 -FGP'!F17</f>
        <v>0.66626411624533777</v>
      </c>
      <c r="D16" s="347">
        <f>Datos!$I$76*'CUADRO 13- Incentivo ISAN'!C16/100</f>
        <v>108889.85378940245</v>
      </c>
      <c r="E16" s="378">
        <f>'CUADRO 6 -FGP'!L17</f>
        <v>1.2860124400969288</v>
      </c>
      <c r="F16" s="347">
        <f>Datos!$I$76*'CUADRO 13- Incentivo ISAN'!E16/100</f>
        <v>210177.47040415843</v>
      </c>
      <c r="G16" s="378">
        <f>'CUADRO 6 -FGP'!R17</f>
        <v>0.76402493139851979</v>
      </c>
      <c r="H16" s="347">
        <f>Datos!$I$76*'CUADRO 13- Incentivo ISAN'!G16/100</f>
        <v>124867.2426488723</v>
      </c>
      <c r="I16" s="379">
        <f t="shared" si="0"/>
        <v>443934.56684243318</v>
      </c>
      <c r="J16" s="131"/>
      <c r="K16" s="158" t="e">
        <f>#REF!+#REF!+G16</f>
        <v>#REF!</v>
      </c>
      <c r="L16" s="158"/>
      <c r="M16" s="156" t="e">
        <f>[1]Datos!K$64*K16%*22.5%</f>
        <v>#REF!</v>
      </c>
      <c r="N16" s="157"/>
      <c r="O16" s="114"/>
      <c r="P16" s="132"/>
      <c r="Q16" s="97"/>
      <c r="R16" s="97"/>
      <c r="S16" s="97"/>
      <c r="T16" s="840"/>
      <c r="U16" s="839"/>
      <c r="V16" s="135"/>
      <c r="W16" s="125"/>
      <c r="X16" s="125"/>
    </row>
    <row r="17" spans="2:24" ht="22.5" customHeight="1" x14ac:dyDescent="0.25">
      <c r="B17" s="120" t="s">
        <v>55</v>
      </c>
      <c r="C17" s="396">
        <f>'CUADRO 6 -FGP'!F18</f>
        <v>1.6301835111893908</v>
      </c>
      <c r="D17" s="347">
        <f>Datos!$I$76*'CUADRO 13- Incentivo ISAN'!C17/100</f>
        <v>266426.54144973191</v>
      </c>
      <c r="E17" s="378">
        <f>'CUADRO 6 -FGP'!L18</f>
        <v>1.5947173466426192</v>
      </c>
      <c r="F17" s="347">
        <f>Datos!$I$76*'CUADRO 13- Incentivo ISAN'!E17/100</f>
        <v>260630.18325212668</v>
      </c>
      <c r="G17" s="378">
        <f>'CUADRO 6 -FGP'!R18</f>
        <v>0.46252211394587867</v>
      </c>
      <c r="H17" s="347">
        <f>Datos!$I$76*'CUADRO 13- Incentivo ISAN'!G17/100</f>
        <v>75591.592183821878</v>
      </c>
      <c r="I17" s="379">
        <f t="shared" si="0"/>
        <v>602648.31688568043</v>
      </c>
      <c r="J17" s="131"/>
      <c r="K17" s="158" t="e">
        <f>#REF!+#REF!+G17</f>
        <v>#REF!</v>
      </c>
      <c r="L17" s="158"/>
      <c r="M17" s="156" t="e">
        <f>[1]Datos!K$64*K17%*22.5%</f>
        <v>#REF!</v>
      </c>
      <c r="N17" s="157"/>
      <c r="O17" s="114"/>
      <c r="P17" s="132"/>
      <c r="Q17" s="97"/>
      <c r="R17" s="97"/>
      <c r="S17" s="97"/>
      <c r="T17" s="840"/>
      <c r="U17" s="839"/>
      <c r="V17" s="135"/>
      <c r="W17" s="125"/>
      <c r="X17" s="125"/>
    </row>
    <row r="18" spans="2:24" ht="22.5" customHeight="1" x14ac:dyDescent="0.25">
      <c r="B18" s="120" t="s">
        <v>56</v>
      </c>
      <c r="C18" s="396">
        <f>'CUADRO 6 -FGP'!F19</f>
        <v>1.1702237878159967</v>
      </c>
      <c r="D18" s="347">
        <f>Datos!$I$76*'CUADRO 13- Incentivo ISAN'!C18/100</f>
        <v>191253.72963841687</v>
      </c>
      <c r="E18" s="378">
        <f>'CUADRO 6 -FGP'!L19</f>
        <v>1.2276857587521393</v>
      </c>
      <c r="F18" s="347">
        <f>Datos!$I$76*'CUADRO 13- Incentivo ISAN'!E18/100</f>
        <v>200644.93871170192</v>
      </c>
      <c r="G18" s="378">
        <f>'CUADRO 6 -FGP'!R19</f>
        <v>0.62203679207378126</v>
      </c>
      <c r="H18" s="347">
        <f>Datos!$I$76*'CUADRO 13- Incentivo ISAN'!G18/100</f>
        <v>101661.62890813939</v>
      </c>
      <c r="I18" s="379">
        <f t="shared" si="0"/>
        <v>493560.29725825822</v>
      </c>
      <c r="J18" s="131"/>
      <c r="K18" s="158" t="e">
        <f>#REF!+#REF!+G18</f>
        <v>#REF!</v>
      </c>
      <c r="L18" s="158"/>
      <c r="M18" s="156" t="e">
        <f>[1]Datos!K$64*K18%*22.5%</f>
        <v>#REF!</v>
      </c>
      <c r="N18" s="157"/>
      <c r="O18" s="114"/>
      <c r="P18" s="132"/>
      <c r="Q18" s="97"/>
      <c r="R18" s="97"/>
      <c r="S18" s="97"/>
      <c r="T18" s="840"/>
      <c r="U18" s="839"/>
      <c r="V18" s="135"/>
      <c r="W18" s="125"/>
      <c r="X18" s="125"/>
    </row>
    <row r="19" spans="2:24" ht="22.5" customHeight="1" x14ac:dyDescent="0.25">
      <c r="B19" s="120" t="s">
        <v>57</v>
      </c>
      <c r="C19" s="396">
        <f>'CUADRO 6 -FGP'!F20</f>
        <v>2.0163243369249897</v>
      </c>
      <c r="D19" s="347">
        <f>Datos!$I$76*'CUADRO 13- Incentivo ISAN'!C19/100</f>
        <v>329534.87496380281</v>
      </c>
      <c r="E19" s="378">
        <f>'CUADRO 6 -FGP'!L20</f>
        <v>1.4288257602539771</v>
      </c>
      <c r="F19" s="347">
        <f>Datos!$I$76*'CUADRO 13- Incentivo ISAN'!E19/100</f>
        <v>233517.94630839248</v>
      </c>
      <c r="G19" s="378">
        <f>'CUADRO 6 -FGP'!R20</f>
        <v>0.43295296865344507</v>
      </c>
      <c r="H19" s="347">
        <f>Datos!$I$76*'CUADRO 13- Incentivo ISAN'!G19/100</f>
        <v>70759.004282021866</v>
      </c>
      <c r="I19" s="379">
        <f t="shared" si="0"/>
        <v>633811.82555421721</v>
      </c>
      <c r="J19" s="131"/>
      <c r="K19" s="158" t="e">
        <f>#REF!+#REF!+G19</f>
        <v>#REF!</v>
      </c>
      <c r="L19" s="158"/>
      <c r="M19" s="156" t="e">
        <f>[1]Datos!K$64*K19%*22.5%</f>
        <v>#REF!</v>
      </c>
      <c r="N19" s="157"/>
      <c r="O19" s="114"/>
      <c r="P19" s="132"/>
      <c r="Q19" s="97"/>
      <c r="R19" s="97"/>
      <c r="S19" s="97"/>
      <c r="T19" s="840"/>
      <c r="U19" s="839"/>
      <c r="V19" s="135"/>
      <c r="W19" s="125"/>
      <c r="X19" s="125"/>
    </row>
    <row r="20" spans="2:24" ht="22.5" customHeight="1" x14ac:dyDescent="0.25">
      <c r="B20" s="120" t="s">
        <v>58</v>
      </c>
      <c r="C20" s="396">
        <f>'CUADRO 6 -FGP'!F21</f>
        <v>0.37312538852051391</v>
      </c>
      <c r="D20" s="347">
        <f>Datos!$I$76*'CUADRO 13- Incentivo ISAN'!C20/100</f>
        <v>60981.175498504192</v>
      </c>
      <c r="E20" s="378">
        <f>'CUADRO 6 -FGP'!L21</f>
        <v>1.3878779591709738</v>
      </c>
      <c r="F20" s="347">
        <f>Datos!$I$76*'CUADRO 13- Incentivo ISAN'!E20/100</f>
        <v>226825.70525231873</v>
      </c>
      <c r="G20" s="378">
        <f>'CUADRO 6 -FGP'!R21</f>
        <v>0.84701029329993749</v>
      </c>
      <c r="H20" s="347">
        <f>Datos!$I$76*'CUADRO 13- Incentivo ISAN'!G20/100</f>
        <v>138429.82797168533</v>
      </c>
      <c r="I20" s="379">
        <f t="shared" si="0"/>
        <v>426236.70872250828</v>
      </c>
      <c r="J20" s="131"/>
      <c r="K20" s="158" t="e">
        <f>#REF!+#REF!+G20</f>
        <v>#REF!</v>
      </c>
      <c r="L20" s="158"/>
      <c r="M20" s="156" t="e">
        <f>[1]Datos!K$64*K20%*22.5%</f>
        <v>#REF!</v>
      </c>
      <c r="N20" s="157"/>
      <c r="O20" s="114"/>
      <c r="P20" s="132"/>
      <c r="Q20" s="97"/>
      <c r="R20" s="97"/>
      <c r="S20" s="97"/>
      <c r="T20" s="840"/>
      <c r="U20" s="839"/>
      <c r="V20" s="135"/>
      <c r="W20" s="125"/>
      <c r="X20" s="125"/>
    </row>
    <row r="21" spans="2:24" ht="22.5" customHeight="1" x14ac:dyDescent="0.25">
      <c r="B21" s="120" t="s">
        <v>59</v>
      </c>
      <c r="C21" s="396">
        <f>'CUADRO 6 -FGP'!F22</f>
        <v>1.2098043151678408</v>
      </c>
      <c r="D21" s="347">
        <f>Datos!$I$76*'CUADRO 13- Incentivo ISAN'!C21/100</f>
        <v>197722.51240963658</v>
      </c>
      <c r="E21" s="378">
        <f>'CUADRO 6 -FGP'!L22</f>
        <v>1.1945610397125102</v>
      </c>
      <c r="F21" s="347">
        <f>Datos!$I$76*'CUADRO 13- Incentivo ISAN'!E21/100</f>
        <v>195231.25106877915</v>
      </c>
      <c r="G21" s="378">
        <f>'CUADRO 6 -FGP'!R22</f>
        <v>0.6203666006926658</v>
      </c>
      <c r="H21" s="347">
        <f>Datos!$I$76*'CUADRO 13- Incentivo ISAN'!G21/100</f>
        <v>101388.66374184037</v>
      </c>
      <c r="I21" s="379">
        <f t="shared" si="0"/>
        <v>494342.42722025607</v>
      </c>
      <c r="J21" s="131"/>
      <c r="K21" s="158" t="e">
        <f>#REF!+#REF!+G21</f>
        <v>#REF!</v>
      </c>
      <c r="L21" s="158"/>
      <c r="M21" s="156" t="e">
        <f>[1]Datos!K$64*K21%*22.5%</f>
        <v>#REF!</v>
      </c>
      <c r="N21" s="157"/>
      <c r="O21" s="114"/>
      <c r="P21" s="132"/>
      <c r="Q21" s="97"/>
      <c r="R21" s="97"/>
      <c r="S21" s="97"/>
      <c r="T21" s="840"/>
      <c r="U21" s="839"/>
      <c r="V21" s="135"/>
      <c r="W21" s="125"/>
      <c r="X21" s="125"/>
    </row>
    <row r="22" spans="2:24" ht="22.5" customHeight="1" x14ac:dyDescent="0.25">
      <c r="B22" s="120" t="s">
        <v>60</v>
      </c>
      <c r="C22" s="396">
        <f>'CUADRO 6 -FGP'!F23</f>
        <v>4.5641933019063412</v>
      </c>
      <c r="D22" s="347">
        <f>Datos!$I$76*'CUADRO 13- Incentivo ISAN'!C22/100</f>
        <v>745941.93082453753</v>
      </c>
      <c r="E22" s="378">
        <f>'CUADRO 6 -FGP'!L23</f>
        <v>2.248148988985688</v>
      </c>
      <c r="F22" s="347">
        <f>Datos!$I$76*'CUADRO 13- Incentivo ISAN'!E22/100</f>
        <v>367422.78135432675</v>
      </c>
      <c r="G22" s="378">
        <f>'CUADRO 6 -FGP'!R23</f>
        <v>0.21895376044515011</v>
      </c>
      <c r="H22" s="347">
        <f>Datos!$I$76*'CUADRO 13- Incentivo ISAN'!G22/100</f>
        <v>35784.371963284582</v>
      </c>
      <c r="I22" s="379">
        <f t="shared" si="0"/>
        <v>1149149.084142149</v>
      </c>
      <c r="J22" s="131"/>
      <c r="K22" s="158" t="e">
        <f>#REF!+#REF!+G22</f>
        <v>#REF!</v>
      </c>
      <c r="L22" s="158"/>
      <c r="M22" s="156" t="e">
        <f>[1]Datos!K$64*K22%*22.5%</f>
        <v>#REF!</v>
      </c>
      <c r="N22" s="157"/>
      <c r="O22" s="114"/>
      <c r="P22" s="132"/>
      <c r="Q22" s="97"/>
      <c r="R22" s="97"/>
      <c r="S22" s="97"/>
      <c r="T22" s="840"/>
      <c r="U22" s="839"/>
      <c r="V22" s="135"/>
      <c r="W22" s="125"/>
      <c r="X22" s="125"/>
    </row>
    <row r="23" spans="2:24" ht="22.5" customHeight="1" x14ac:dyDescent="0.25">
      <c r="B23" s="120" t="s">
        <v>61</v>
      </c>
      <c r="C23" s="396">
        <f>'CUADRO 6 -FGP'!F24</f>
        <v>1.8034636603812679</v>
      </c>
      <c r="D23" s="347">
        <f>Datos!$I$76*'CUADRO 13- Incentivo ISAN'!C23/100</f>
        <v>294746.31682115747</v>
      </c>
      <c r="E23" s="378">
        <f>'CUADRO 6 -FGP'!L24</f>
        <v>1.1696349871604024</v>
      </c>
      <c r="F23" s="347">
        <f>Datos!$I$76*'CUADRO 13- Incentivo ISAN'!E23/100</f>
        <v>191157.49990649003</v>
      </c>
      <c r="G23" s="378">
        <f>'CUADRO 6 -FGP'!R24</f>
        <v>0.50169474304650796</v>
      </c>
      <c r="H23" s="347">
        <f>Datos!$I$76*'CUADRO 13- Incentivo ISAN'!G23/100</f>
        <v>81993.71073007019</v>
      </c>
      <c r="I23" s="379">
        <f t="shared" si="0"/>
        <v>567897.52745771769</v>
      </c>
      <c r="J23" s="131"/>
      <c r="K23" s="158" t="e">
        <f>#REF!+#REF!+G23</f>
        <v>#REF!</v>
      </c>
      <c r="L23" s="158"/>
      <c r="M23" s="156" t="e">
        <f>[1]Datos!K$64*K23%*22.5%</f>
        <v>#REF!</v>
      </c>
      <c r="N23" s="157"/>
      <c r="O23" s="114"/>
      <c r="P23" s="132"/>
      <c r="Q23" s="97"/>
      <c r="R23" s="97"/>
      <c r="S23" s="97"/>
      <c r="T23" s="840"/>
      <c r="U23" s="839"/>
      <c r="V23" s="135"/>
      <c r="W23" s="125"/>
      <c r="X23" s="125"/>
    </row>
    <row r="24" spans="2:24" ht="22.5" customHeight="1" x14ac:dyDescent="0.25">
      <c r="B24" s="120" t="s">
        <v>62</v>
      </c>
      <c r="C24" s="396">
        <f>'CUADRO 6 -FGP'!F25</f>
        <v>20.685026419394944</v>
      </c>
      <c r="D24" s="347">
        <f>Datos!$I$76*'CUADRO 13- Incentivo ISAN'!C24/100</f>
        <v>3380625.5620232848</v>
      </c>
      <c r="E24" s="378">
        <f>'CUADRO 6 -FGP'!L25</f>
        <v>1.3990667556061676</v>
      </c>
      <c r="F24" s="347">
        <f>Datos!$I$76*'CUADRO 13- Incentivo ISAN'!E24/100</f>
        <v>228654.32903409086</v>
      </c>
      <c r="G24" s="378">
        <f>'CUADRO 6 -FGP'!R25</f>
        <v>6.754128187245631E-2</v>
      </c>
      <c r="H24" s="347">
        <f>Datos!$I$76*'CUADRO 13- Incentivo ISAN'!G24/100</f>
        <v>11038.505794498504</v>
      </c>
      <c r="I24" s="379">
        <f t="shared" si="0"/>
        <v>3620318.3968518744</v>
      </c>
      <c r="J24" s="131"/>
      <c r="K24" s="158" t="e">
        <f>#REF!+#REF!+G24</f>
        <v>#REF!</v>
      </c>
      <c r="L24" s="158"/>
      <c r="M24" s="156" t="e">
        <f>[1]Datos!K$64*K24%*22.5%</f>
        <v>#REF!</v>
      </c>
      <c r="N24" s="157"/>
      <c r="O24" s="114"/>
      <c r="P24" s="132"/>
      <c r="Q24" s="97"/>
      <c r="R24" s="97"/>
      <c r="S24" s="97"/>
      <c r="T24" s="840"/>
      <c r="U24" s="839"/>
      <c r="V24" s="135"/>
      <c r="W24" s="125"/>
      <c r="X24" s="125"/>
    </row>
    <row r="25" spans="2:24" ht="22.5" customHeight="1" x14ac:dyDescent="0.25">
      <c r="B25" s="120" t="s">
        <v>63</v>
      </c>
      <c r="C25" s="396">
        <f>'CUADRO 6 -FGP'!F26</f>
        <v>1.4600600911728139</v>
      </c>
      <c r="D25" s="347">
        <f>Datos!$I$76*'CUADRO 13- Incentivo ISAN'!C25/100</f>
        <v>238622.68126864894</v>
      </c>
      <c r="E25" s="378">
        <f>'CUADRO 6 -FGP'!L26</f>
        <v>1.7487657043856868</v>
      </c>
      <c r="F25" s="347">
        <f>Datos!$I$76*'CUADRO 13- Incentivo ISAN'!E25/100</f>
        <v>285806.84028968419</v>
      </c>
      <c r="G25" s="378">
        <f>'CUADRO 6 -FGP'!R26</f>
        <v>0.46483918325978346</v>
      </c>
      <c r="H25" s="347">
        <f>Datos!$I$76*'CUADRO 13- Incentivo ISAN'!G25/100</f>
        <v>75970.278852755582</v>
      </c>
      <c r="I25" s="379">
        <f t="shared" si="0"/>
        <v>600399.80041108874</v>
      </c>
      <c r="J25" s="131"/>
      <c r="K25" s="158" t="e">
        <f>#REF!+#REF!+G25</f>
        <v>#REF!</v>
      </c>
      <c r="L25" s="158"/>
      <c r="M25" s="156" t="e">
        <f>[1]Datos!K$64*K25%*22.5%</f>
        <v>#REF!</v>
      </c>
      <c r="N25" s="157"/>
      <c r="O25" s="114"/>
      <c r="P25" s="132"/>
      <c r="Q25" s="97"/>
      <c r="R25" s="97"/>
      <c r="S25" s="97"/>
      <c r="T25" s="840"/>
      <c r="U25" s="839"/>
      <c r="V25" s="135"/>
      <c r="W25" s="125"/>
      <c r="X25" s="125"/>
    </row>
    <row r="26" spans="2:24" ht="22.5" customHeight="1" thickBot="1" x14ac:dyDescent="0.3">
      <c r="B26" s="120" t="s">
        <v>64</v>
      </c>
      <c r="C26" s="396">
        <f>'CUADRO 6 -FGP'!F27</f>
        <v>3.1678505750103603</v>
      </c>
      <c r="D26" s="347">
        <f>Datos!$I$76*'CUADRO 13- Incentivo ISAN'!C26/100</f>
        <v>517732.79924403608</v>
      </c>
      <c r="E26" s="378">
        <f>'CUADRO 6 -FGP'!L27</f>
        <v>1.5622358279387716</v>
      </c>
      <c r="F26" s="347">
        <f>Datos!$I$76*'CUADRO 13- Incentivo ISAN'!E26/100</f>
        <v>255321.61606941305</v>
      </c>
      <c r="G26" s="378">
        <f>'CUADRO 6 -FGP'!R27</f>
        <v>0.31534053185589972</v>
      </c>
      <c r="H26" s="347">
        <f>Datos!$I$76*'CUADRO 13- Incentivo ISAN'!G26/100</f>
        <v>51537.196091493097</v>
      </c>
      <c r="I26" s="379">
        <f t="shared" si="0"/>
        <v>824591.61140494223</v>
      </c>
      <c r="J26" s="154"/>
      <c r="K26" s="132" t="e">
        <f>#REF!+#REF!+G26</f>
        <v>#REF!</v>
      </c>
      <c r="L26" s="132"/>
      <c r="M26" s="156" t="e">
        <f>[1]Datos!K$64*K26%*22.5%</f>
        <v>#REF!</v>
      </c>
      <c r="N26" s="157"/>
      <c r="O26" s="114"/>
      <c r="P26" s="132"/>
      <c r="Q26" s="97"/>
      <c r="R26" s="97"/>
      <c r="S26" s="97"/>
      <c r="T26" s="840"/>
      <c r="U26" s="839"/>
      <c r="V26" s="135"/>
      <c r="W26" s="125"/>
      <c r="X26" s="125"/>
    </row>
    <row r="27" spans="2:24" ht="15.75" thickBot="1" x14ac:dyDescent="0.3">
      <c r="B27" s="394" t="s">
        <v>65</v>
      </c>
      <c r="C27" s="397">
        <f t="shared" ref="C27:I27" si="1">SUM(C7:C26)</f>
        <v>59.999999999999993</v>
      </c>
      <c r="D27" s="838">
        <f t="shared" si="1"/>
        <v>9806007.9600000009</v>
      </c>
      <c r="E27" s="166">
        <f t="shared" si="1"/>
        <v>29.999999999999996</v>
      </c>
      <c r="F27" s="53">
        <f t="shared" si="1"/>
        <v>4903003.9799999986</v>
      </c>
      <c r="G27" s="167">
        <f t="shared" si="1"/>
        <v>10</v>
      </c>
      <c r="H27" s="53">
        <f t="shared" si="1"/>
        <v>1634334.6600000001</v>
      </c>
      <c r="I27" s="160">
        <f t="shared" si="1"/>
        <v>16343346.599999998</v>
      </c>
      <c r="J27" s="161"/>
      <c r="K27" s="162" t="e">
        <f>#REF!+#REF!+G27</f>
        <v>#REF!</v>
      </c>
      <c r="L27" s="162"/>
      <c r="M27" s="163" t="e">
        <f>SUM(M7:M26)</f>
        <v>#REF!</v>
      </c>
      <c r="N27" s="164"/>
      <c r="O27" s="165"/>
      <c r="P27" s="137"/>
      <c r="Q27" s="136"/>
      <c r="R27" s="136"/>
      <c r="S27" s="136"/>
      <c r="T27" s="839"/>
      <c r="U27" s="839"/>
      <c r="V27" s="135"/>
      <c r="W27" s="125"/>
      <c r="X27" s="125"/>
    </row>
    <row r="28" spans="2:24" x14ac:dyDescent="0.25">
      <c r="B28" s="1125" t="s">
        <v>271</v>
      </c>
      <c r="C28" s="1125"/>
      <c r="D28" s="1125"/>
      <c r="E28" s="1125"/>
      <c r="F28" s="1125"/>
      <c r="G28" s="8"/>
      <c r="H28" s="8"/>
      <c r="I28" s="8"/>
      <c r="J28" s="8"/>
      <c r="K28" s="138"/>
      <c r="L28" s="138"/>
      <c r="M28" s="123"/>
      <c r="N28" s="123"/>
      <c r="O28" s="132"/>
      <c r="P28" s="124"/>
      <c r="Q28" s="124"/>
      <c r="R28" s="125"/>
      <c r="S28" s="125"/>
      <c r="T28" s="125"/>
      <c r="U28" s="125"/>
      <c r="V28" s="125"/>
      <c r="W28" s="125"/>
      <c r="X28" s="125"/>
    </row>
    <row r="29" spans="2:24" ht="24.75" customHeight="1" x14ac:dyDescent="0.25">
      <c r="B29" s="1168"/>
      <c r="C29" s="1169"/>
      <c r="D29" s="1169"/>
      <c r="E29" s="1169"/>
      <c r="F29" s="1169"/>
      <c r="G29" s="1169"/>
      <c r="H29" s="1169"/>
      <c r="I29" s="1169"/>
      <c r="J29" s="8"/>
      <c r="K29" s="8"/>
      <c r="L29" s="8"/>
      <c r="M29" s="139"/>
      <c r="N29" s="8"/>
      <c r="O29" s="8"/>
      <c r="P29" s="57"/>
      <c r="Q29" s="57"/>
    </row>
  </sheetData>
  <mergeCells count="9">
    <mergeCell ref="B28:F28"/>
    <mergeCell ref="B29:I29"/>
    <mergeCell ref="N3:O4"/>
    <mergeCell ref="B1:K1"/>
    <mergeCell ref="B3:B6"/>
    <mergeCell ref="D3:D4"/>
    <mergeCell ref="F3:F4"/>
    <mergeCell ref="H3:H4"/>
    <mergeCell ref="I3:I5"/>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pageSetUpPr fitToPage="1"/>
  </sheetPr>
  <dimension ref="B1:AB33"/>
  <sheetViews>
    <sheetView zoomScale="87" zoomScaleNormal="87" workbookViewId="0"/>
  </sheetViews>
  <sheetFormatPr baseColWidth="10" defaultRowHeight="15" x14ac:dyDescent="0.25"/>
  <cols>
    <col min="1" max="1" width="3.5703125" customWidth="1"/>
    <col min="2" max="2" width="23.140625" customWidth="1"/>
    <col min="3" max="3" width="12.5703125" customWidth="1"/>
    <col min="4" max="4" width="14.28515625" customWidth="1"/>
    <col min="5" max="5" width="13.7109375" customWidth="1"/>
    <col min="6" max="6" width="19.5703125" style="9" customWidth="1"/>
    <col min="7" max="7" width="17.42578125" style="9" customWidth="1"/>
    <col min="8" max="8" width="16.85546875" style="9" customWidth="1"/>
    <col min="9" max="9" width="14.140625" customWidth="1"/>
    <col min="10" max="10" width="16.5703125" customWidth="1"/>
    <col min="11" max="11" width="14.140625" customWidth="1"/>
    <col min="12" max="12" width="19.7109375" customWidth="1"/>
    <col min="13" max="13" width="14.5703125" customWidth="1"/>
    <col min="14" max="14" width="15.28515625" customWidth="1"/>
    <col min="15" max="15" width="13.28515625" customWidth="1"/>
    <col min="16" max="16" width="15.28515625" customWidth="1"/>
    <col min="17" max="17" width="13.5703125" customWidth="1"/>
    <col min="18" max="18" width="19.7109375" customWidth="1"/>
    <col min="19" max="19" width="17.140625" customWidth="1"/>
    <col min="20" max="23" width="17.5703125" hidden="1" customWidth="1"/>
    <col min="24" max="24" width="4.28515625" hidden="1" customWidth="1"/>
    <col min="25" max="25" width="15.5703125" hidden="1" customWidth="1"/>
    <col min="26" max="26" width="17.85546875" bestFit="1" customWidth="1"/>
    <col min="27" max="27" width="12.140625" bestFit="1" customWidth="1"/>
  </cols>
  <sheetData>
    <row r="1" spans="2:28" ht="15.75" x14ac:dyDescent="0.25">
      <c r="B1" s="1001" t="s">
        <v>454</v>
      </c>
      <c r="C1" s="1001"/>
      <c r="D1" s="1001"/>
      <c r="E1" s="1001"/>
      <c r="F1" s="1001"/>
      <c r="G1" s="1001"/>
      <c r="H1" s="1001"/>
      <c r="I1" s="1001"/>
      <c r="J1" s="1001"/>
      <c r="K1" s="1001"/>
      <c r="L1" s="1001"/>
      <c r="M1" s="1001"/>
      <c r="N1" s="1001"/>
      <c r="O1" s="1001"/>
      <c r="P1" s="1001"/>
      <c r="Q1" s="1001"/>
      <c r="R1" s="1001"/>
      <c r="S1" s="1001"/>
    </row>
    <row r="2" spans="2:28" ht="15.75" thickBot="1" x14ac:dyDescent="0.3">
      <c r="B2" s="674"/>
      <c r="C2" s="674"/>
      <c r="D2" s="674"/>
      <c r="E2" s="674"/>
      <c r="F2" s="674"/>
      <c r="G2" s="674"/>
      <c r="H2" s="674"/>
      <c r="I2" s="9"/>
      <c r="S2" s="961" t="s">
        <v>550</v>
      </c>
    </row>
    <row r="3" spans="2:28" ht="33.75" customHeight="1" thickBot="1" x14ac:dyDescent="0.3">
      <c r="B3" s="968" t="s">
        <v>216</v>
      </c>
      <c r="C3" s="1171" t="s">
        <v>66</v>
      </c>
      <c r="D3" s="1172"/>
      <c r="E3" s="1172"/>
      <c r="F3" s="1173"/>
      <c r="G3" s="1171" t="s">
        <v>67</v>
      </c>
      <c r="H3" s="1172"/>
      <c r="I3" s="1172"/>
      <c r="J3" s="1172"/>
      <c r="K3" s="1172"/>
      <c r="L3" s="1173"/>
      <c r="M3" s="1174" t="s">
        <v>68</v>
      </c>
      <c r="N3" s="1175"/>
      <c r="O3" s="1175"/>
      <c r="P3" s="1175"/>
      <c r="Q3" s="1175"/>
      <c r="R3" s="1176"/>
      <c r="S3" s="1106" t="s">
        <v>82</v>
      </c>
      <c r="T3" s="1057" t="s">
        <v>385</v>
      </c>
    </row>
    <row r="4" spans="2:28" ht="15" customHeight="1" x14ac:dyDescent="0.25">
      <c r="B4" s="969"/>
      <c r="C4" s="1055" t="s">
        <v>403</v>
      </c>
      <c r="D4" s="1055" t="s">
        <v>191</v>
      </c>
      <c r="E4" s="1055" t="s">
        <v>408</v>
      </c>
      <c r="F4" s="1159" t="s">
        <v>333</v>
      </c>
      <c r="G4" s="1184" t="s">
        <v>237</v>
      </c>
      <c r="H4" s="1185"/>
      <c r="I4" s="1177" t="s">
        <v>362</v>
      </c>
      <c r="J4" s="1189" t="s">
        <v>77</v>
      </c>
      <c r="K4" s="1055" t="s">
        <v>405</v>
      </c>
      <c r="L4" s="1159" t="s">
        <v>334</v>
      </c>
      <c r="M4" s="1055" t="s">
        <v>17</v>
      </c>
      <c r="N4" s="1177" t="s">
        <v>335</v>
      </c>
      <c r="O4" s="1177" t="s">
        <v>232</v>
      </c>
      <c r="P4" s="1177" t="s">
        <v>336</v>
      </c>
      <c r="Q4" s="1180" t="s">
        <v>193</v>
      </c>
      <c r="R4" s="1055" t="s">
        <v>337</v>
      </c>
      <c r="S4" s="1107"/>
      <c r="T4" s="1057"/>
    </row>
    <row r="5" spans="2:28" ht="15.75" thickBot="1" x14ac:dyDescent="0.3">
      <c r="B5" s="969"/>
      <c r="C5" s="1056"/>
      <c r="D5" s="1056"/>
      <c r="E5" s="1056"/>
      <c r="F5" s="1160"/>
      <c r="G5" s="1186"/>
      <c r="H5" s="1187"/>
      <c r="I5" s="1188"/>
      <c r="J5" s="1190"/>
      <c r="K5" s="1056"/>
      <c r="L5" s="1160"/>
      <c r="M5" s="1056"/>
      <c r="N5" s="1188"/>
      <c r="O5" s="1188"/>
      <c r="P5" s="1178"/>
      <c r="Q5" s="1181"/>
      <c r="R5" s="1056"/>
      <c r="S5" s="1107"/>
      <c r="T5" s="1057"/>
    </row>
    <row r="6" spans="2:28" x14ac:dyDescent="0.25">
      <c r="B6" s="969"/>
      <c r="C6" s="1056"/>
      <c r="D6" s="1056"/>
      <c r="E6" s="1056"/>
      <c r="F6" s="1160"/>
      <c r="G6" s="682">
        <v>2023</v>
      </c>
      <c r="H6" s="683">
        <v>2024</v>
      </c>
      <c r="I6" s="1188"/>
      <c r="J6" s="1190"/>
      <c r="K6" s="1056"/>
      <c r="L6" s="1160"/>
      <c r="M6" s="1056"/>
      <c r="N6" s="1188"/>
      <c r="O6" s="1188"/>
      <c r="P6" s="1178"/>
      <c r="Q6" s="1181"/>
      <c r="R6" s="1056"/>
      <c r="S6" s="1107"/>
      <c r="T6" s="1057"/>
    </row>
    <row r="7" spans="2:28" ht="15.75" thickBot="1" x14ac:dyDescent="0.3">
      <c r="B7" s="969"/>
      <c r="C7" s="684" t="s">
        <v>71</v>
      </c>
      <c r="D7" s="685" t="s">
        <v>72</v>
      </c>
      <c r="E7" s="685" t="s">
        <v>73</v>
      </c>
      <c r="F7" s="685" t="s">
        <v>95</v>
      </c>
      <c r="G7" s="685" t="s">
        <v>74</v>
      </c>
      <c r="H7" s="685" t="s">
        <v>75</v>
      </c>
      <c r="I7" s="685" t="s">
        <v>76</v>
      </c>
      <c r="J7" s="685" t="s">
        <v>97</v>
      </c>
      <c r="K7" s="685" t="s">
        <v>78</v>
      </c>
      <c r="L7" s="686" t="s">
        <v>226</v>
      </c>
      <c r="M7" s="686" t="s">
        <v>228</v>
      </c>
      <c r="N7" s="686" t="s">
        <v>229</v>
      </c>
      <c r="O7" s="686" t="s">
        <v>231</v>
      </c>
      <c r="P7" s="1179"/>
      <c r="Q7" s="687" t="s">
        <v>79</v>
      </c>
      <c r="R7" s="686" t="s">
        <v>235</v>
      </c>
      <c r="S7" s="688" t="s">
        <v>338</v>
      </c>
      <c r="T7" s="1057"/>
      <c r="V7" s="59"/>
    </row>
    <row r="8" spans="2:28" s="5" customFormat="1" ht="16.5" customHeight="1" x14ac:dyDescent="0.25">
      <c r="B8" s="689" t="s">
        <v>45</v>
      </c>
      <c r="C8" s="690">
        <f>'CUADRO 1 - CENSO 2020'!C9</f>
        <v>37232</v>
      </c>
      <c r="D8" s="691">
        <f>C8/$C$28*100</f>
        <v>3.0136241193535018</v>
      </c>
      <c r="E8" s="692">
        <f>D8*0.6</f>
        <v>1.8081744716121011</v>
      </c>
      <c r="F8" s="693">
        <f>Datos!$K$96*'CUADRO 14 ISR Enaje'!E8/100</f>
        <v>723269.78864484048</v>
      </c>
      <c r="G8" s="694">
        <f>'CUADRO 2 -Predial y Agua'!D6</f>
        <v>12923931</v>
      </c>
      <c r="H8" s="695">
        <f>'CUADRO 2 -Predial y Agua'!G6</f>
        <v>11882395.140000001</v>
      </c>
      <c r="I8" s="691">
        <f>H8/G8</f>
        <v>0.91941028933069979</v>
      </c>
      <c r="J8" s="691">
        <f>I8/$I$28*100</f>
        <v>4.1362136121224466</v>
      </c>
      <c r="K8" s="691">
        <f>J8*0.3</f>
        <v>1.2408640836367339</v>
      </c>
      <c r="L8" s="696">
        <f>Datos!$K$96*'CUADRO 14 ISR Enaje'!K8/100</f>
        <v>496345.63345469354</v>
      </c>
      <c r="M8" s="697">
        <f>F8+L8</f>
        <v>1219615.422099534</v>
      </c>
      <c r="N8" s="691">
        <f>K8+E8</f>
        <v>3.0490385552488348</v>
      </c>
      <c r="O8" s="691">
        <f>MINVERSE(N8)</f>
        <v>0.32797223842201928</v>
      </c>
      <c r="P8" s="691">
        <f>O8/O$28*100</f>
        <v>4.8919944271042803</v>
      </c>
      <c r="Q8" s="691">
        <f>P8*0.1</f>
        <v>0.48919944271042803</v>
      </c>
      <c r="R8" s="698">
        <f>Datos!$K$96*'CUADRO 14 ISR Enaje'!Q8/100</f>
        <v>195679.77708417122</v>
      </c>
      <c r="S8" s="699">
        <f>F8+L8+R8</f>
        <v>1415295.1991837053</v>
      </c>
      <c r="T8" s="73">
        <f>E8+K8+Q8</f>
        <v>3.5382379979592629</v>
      </c>
      <c r="U8" s="74"/>
      <c r="V8" s="75">
        <v>0.97425313870244945</v>
      </c>
      <c r="W8" s="75">
        <f t="shared" ref="W8:W27" si="0">I8-V8</f>
        <v>-5.4842849371749658E-2</v>
      </c>
      <c r="Y8" s="74"/>
      <c r="Z8" s="76"/>
      <c r="AA8" s="74"/>
      <c r="AB8" s="74"/>
    </row>
    <row r="9" spans="2:28" s="5" customFormat="1" ht="16.5" customHeight="1" x14ac:dyDescent="0.25">
      <c r="B9" s="689" t="s">
        <v>46</v>
      </c>
      <c r="C9" s="690">
        <f>'CUADRO 1 - CENSO 2020'!C10</f>
        <v>15393</v>
      </c>
      <c r="D9" s="691">
        <f t="shared" ref="D9:D27" si="1">C9/$C$28*100</f>
        <v>1.2459367229589724</v>
      </c>
      <c r="E9" s="692">
        <f t="shared" ref="E9:E27" si="2">D9*0.6</f>
        <v>0.74756203377538344</v>
      </c>
      <c r="F9" s="693">
        <f>Datos!$K$96*'CUADRO 14 ISR Enaje'!E9/100</f>
        <v>299024.81351015338</v>
      </c>
      <c r="G9" s="694">
        <f>'CUADRO 2 -Predial y Agua'!D7</f>
        <v>7338734</v>
      </c>
      <c r="H9" s="695">
        <f>'CUADRO 2 -Predial y Agua'!G7</f>
        <v>7867222.9400000004</v>
      </c>
      <c r="I9" s="691">
        <f t="shared" ref="I9:I27" si="3">H9/G9</f>
        <v>1.072013638864687</v>
      </c>
      <c r="J9" s="691">
        <f t="shared" ref="J9:J27" si="4">I9/$I$28*100</f>
        <v>4.8227406816176668</v>
      </c>
      <c r="K9" s="700">
        <f t="shared" ref="K9:K27" si="5">J9*0.3</f>
        <v>1.4468222044853001</v>
      </c>
      <c r="L9" s="696">
        <f>Datos!$K$96*'CUADRO 14 ISR Enaje'!K9/100</f>
        <v>578728.88179411995</v>
      </c>
      <c r="M9" s="701">
        <f t="shared" ref="M9:M28" si="6">F9+L9</f>
        <v>877753.69530427339</v>
      </c>
      <c r="N9" s="700">
        <f t="shared" ref="N9:N27" si="7">K9+E9</f>
        <v>2.1943842382606835</v>
      </c>
      <c r="O9" s="700">
        <f t="shared" ref="O9:O27" si="8">MINVERSE(N9)</f>
        <v>0.45570870523232598</v>
      </c>
      <c r="P9" s="700">
        <f t="shared" ref="P9:P27" si="9">O9/O$28*100</f>
        <v>6.7972961891696935</v>
      </c>
      <c r="Q9" s="700">
        <f t="shared" ref="Q9:Q27" si="10">P9*0.1</f>
        <v>0.67972961891696937</v>
      </c>
      <c r="R9" s="698">
        <f>Datos!$K$96*'CUADRO 14 ISR Enaje'!Q9/100</f>
        <v>271891.84756678774</v>
      </c>
      <c r="S9" s="699">
        <f t="shared" ref="S9:S27" si="11">F9+L9+R9</f>
        <v>1149645.5428710612</v>
      </c>
      <c r="T9" s="73">
        <f t="shared" ref="T9:T27" si="12">E9+K9+Q9</f>
        <v>2.8741138571776528</v>
      </c>
      <c r="U9" s="74"/>
      <c r="V9" s="75">
        <v>1.0958106186784708</v>
      </c>
      <c r="W9" s="75">
        <f t="shared" si="0"/>
        <v>-2.3796979813783814E-2</v>
      </c>
      <c r="Y9" s="74"/>
      <c r="Z9" s="76"/>
      <c r="AA9" s="74"/>
      <c r="AB9" s="74"/>
    </row>
    <row r="10" spans="2:28" s="5" customFormat="1" ht="16.5" customHeight="1" x14ac:dyDescent="0.25">
      <c r="B10" s="689" t="s">
        <v>47</v>
      </c>
      <c r="C10" s="690">
        <f>'CUADRO 1 - CENSO 2020'!C11</f>
        <v>11536</v>
      </c>
      <c r="D10" s="691">
        <f t="shared" si="1"/>
        <v>0.93374430169912959</v>
      </c>
      <c r="E10" s="692">
        <f t="shared" si="2"/>
        <v>0.56024658101947777</v>
      </c>
      <c r="F10" s="693">
        <f>Datos!$K$96*'CUADRO 14 ISR Enaje'!E10/100</f>
        <v>224098.6324077911</v>
      </c>
      <c r="G10" s="694">
        <f>'CUADRO 2 -Predial y Agua'!D8</f>
        <v>3776843</v>
      </c>
      <c r="H10" s="695">
        <f>'CUADRO 2 -Predial y Agua'!G8</f>
        <v>3578304.75</v>
      </c>
      <c r="I10" s="691">
        <f t="shared" si="3"/>
        <v>0.94743275005076988</v>
      </c>
      <c r="J10" s="691">
        <f t="shared" si="4"/>
        <v>4.2622801624107804</v>
      </c>
      <c r="K10" s="700">
        <f t="shared" si="5"/>
        <v>1.278684048723234</v>
      </c>
      <c r="L10" s="696">
        <f>Datos!$K$96*'CUADRO 14 ISR Enaje'!K10/100</f>
        <v>511473.6194892936</v>
      </c>
      <c r="M10" s="701">
        <f t="shared" si="6"/>
        <v>735572.25189708476</v>
      </c>
      <c r="N10" s="700">
        <f t="shared" si="7"/>
        <v>1.8389306297427117</v>
      </c>
      <c r="O10" s="700">
        <f t="shared" si="8"/>
        <v>0.54379430296395248</v>
      </c>
      <c r="P10" s="700">
        <f t="shared" si="9"/>
        <v>8.1111703612171038</v>
      </c>
      <c r="Q10" s="700">
        <f t="shared" si="10"/>
        <v>0.81111703612171038</v>
      </c>
      <c r="R10" s="698">
        <f>Datos!$K$96*'CUADRO 14 ISR Enaje'!Q10/100</f>
        <v>324446.81444868416</v>
      </c>
      <c r="S10" s="699">
        <f t="shared" si="11"/>
        <v>1060019.066345769</v>
      </c>
      <c r="T10" s="73">
        <f t="shared" si="12"/>
        <v>2.6500476658644221</v>
      </c>
      <c r="U10" s="74"/>
      <c r="V10" s="75">
        <v>1.0258439054458339</v>
      </c>
      <c r="W10" s="75">
        <f t="shared" si="0"/>
        <v>-7.8411155395064047E-2</v>
      </c>
      <c r="Y10" s="74"/>
      <c r="Z10" s="76"/>
      <c r="AA10" s="74"/>
      <c r="AB10" s="74"/>
    </row>
    <row r="11" spans="2:28" s="5" customFormat="1" ht="16.5" customHeight="1" x14ac:dyDescent="0.25">
      <c r="B11" s="689" t="s">
        <v>48</v>
      </c>
      <c r="C11" s="690">
        <f>'CUADRO 1 - CENSO 2020'!C12</f>
        <v>187632</v>
      </c>
      <c r="D11" s="691">
        <f t="shared" si="1"/>
        <v>15.187266887691669</v>
      </c>
      <c r="E11" s="692">
        <f t="shared" si="2"/>
        <v>9.1123601326150006</v>
      </c>
      <c r="F11" s="693">
        <f>Datos!$K$96*'CUADRO 14 ISR Enaje'!E11/100</f>
        <v>3644944.0530460002</v>
      </c>
      <c r="G11" s="694">
        <f>'CUADRO 2 -Predial y Agua'!D9</f>
        <v>386932431</v>
      </c>
      <c r="H11" s="695">
        <f>'CUADRO 2 -Predial y Agua'!G9</f>
        <v>449922673.11000001</v>
      </c>
      <c r="I11" s="691">
        <f t="shared" si="3"/>
        <v>1.162793906799712</v>
      </c>
      <c r="J11" s="691">
        <f t="shared" si="4"/>
        <v>5.2311400483664494</v>
      </c>
      <c r="K11" s="700">
        <f t="shared" si="5"/>
        <v>1.5693420145099348</v>
      </c>
      <c r="L11" s="696">
        <f>Datos!$K$96*'CUADRO 14 ISR Enaje'!K11/100</f>
        <v>627736.80580397393</v>
      </c>
      <c r="M11" s="701">
        <f t="shared" si="6"/>
        <v>4272680.8588499743</v>
      </c>
      <c r="N11" s="700">
        <f t="shared" si="7"/>
        <v>10.681702147124936</v>
      </c>
      <c r="O11" s="700">
        <f t="shared" si="8"/>
        <v>9.3618038232713488E-2</v>
      </c>
      <c r="P11" s="700">
        <f t="shared" si="9"/>
        <v>1.3963953885681142</v>
      </c>
      <c r="Q11" s="700">
        <f t="shared" si="10"/>
        <v>0.13963953885681143</v>
      </c>
      <c r="R11" s="698">
        <f>Datos!$K$96*'CUADRO 14 ISR Enaje'!Q11/100</f>
        <v>55855.815542724573</v>
      </c>
      <c r="S11" s="699">
        <f t="shared" si="11"/>
        <v>4328536.6743926993</v>
      </c>
      <c r="T11" s="73">
        <f t="shared" si="12"/>
        <v>10.821341685981746</v>
      </c>
      <c r="U11" s="74"/>
      <c r="V11" s="75">
        <v>1.2368625473905901</v>
      </c>
      <c r="W11" s="75">
        <f t="shared" si="0"/>
        <v>-7.4068640590878143E-2</v>
      </c>
      <c r="Y11" s="74"/>
      <c r="Z11" s="76"/>
      <c r="AA11" s="74"/>
      <c r="AB11" s="74"/>
    </row>
    <row r="12" spans="2:28" s="5" customFormat="1" ht="16.5" customHeight="1" x14ac:dyDescent="0.25">
      <c r="B12" s="689" t="s">
        <v>49</v>
      </c>
      <c r="C12" s="690">
        <f>'CUADRO 1 - CENSO 2020'!C13</f>
        <v>77436</v>
      </c>
      <c r="D12" s="691">
        <f t="shared" si="1"/>
        <v>6.2678071902196431</v>
      </c>
      <c r="E12" s="692">
        <f t="shared" si="2"/>
        <v>3.7606843141317858</v>
      </c>
      <c r="F12" s="693">
        <f>Datos!$K$96*'CUADRO 14 ISR Enaje'!E12/100</f>
        <v>1504273.7256527143</v>
      </c>
      <c r="G12" s="694">
        <f>'CUADRO 2 -Predial y Agua'!D10</f>
        <v>68495759</v>
      </c>
      <c r="H12" s="695">
        <f>'CUADRO 2 -Predial y Agua'!G10</f>
        <v>81768324.289999992</v>
      </c>
      <c r="I12" s="691">
        <f t="shared" si="3"/>
        <v>1.1937720741221365</v>
      </c>
      <c r="J12" s="691">
        <f t="shared" si="4"/>
        <v>5.3705036370107475</v>
      </c>
      <c r="K12" s="700">
        <f t="shared" si="5"/>
        <v>1.6111510911032243</v>
      </c>
      <c r="L12" s="696">
        <f>Datos!$K$96*'CUADRO 14 ISR Enaje'!K12/100</f>
        <v>644460.43644128973</v>
      </c>
      <c r="M12" s="701">
        <f t="shared" si="6"/>
        <v>2148734.162094004</v>
      </c>
      <c r="N12" s="700">
        <f t="shared" si="7"/>
        <v>5.3718354052350099</v>
      </c>
      <c r="O12" s="700">
        <f t="shared" si="8"/>
        <v>0.18615611323933545</v>
      </c>
      <c r="P12" s="700">
        <f t="shared" si="9"/>
        <v>2.7766821756614926</v>
      </c>
      <c r="Q12" s="700">
        <f t="shared" si="10"/>
        <v>0.27766821756614929</v>
      </c>
      <c r="R12" s="698">
        <f>Datos!$K$96*'CUADRO 14 ISR Enaje'!Q12/100</f>
        <v>111067.28702645973</v>
      </c>
      <c r="S12" s="699">
        <f t="shared" si="11"/>
        <v>2259801.4491204638</v>
      </c>
      <c r="T12" s="73">
        <f t="shared" si="12"/>
        <v>5.6495036228011593</v>
      </c>
      <c r="U12" s="74"/>
      <c r="V12" s="75">
        <v>0.59920521048482089</v>
      </c>
      <c r="W12" s="75">
        <f t="shared" si="0"/>
        <v>0.59456686363731559</v>
      </c>
      <c r="Y12" s="74"/>
      <c r="Z12" s="76"/>
      <c r="AA12" s="74"/>
      <c r="AB12" s="74"/>
    </row>
    <row r="13" spans="2:28" s="5" customFormat="1" ht="16.5" customHeight="1" x14ac:dyDescent="0.25">
      <c r="B13" s="689" t="s">
        <v>50</v>
      </c>
      <c r="C13" s="690">
        <f>'CUADRO 1 - CENSO 2020'!C14</f>
        <v>47550</v>
      </c>
      <c r="D13" s="691">
        <f t="shared" si="1"/>
        <v>3.8487813406547868</v>
      </c>
      <c r="E13" s="692">
        <f t="shared" si="2"/>
        <v>2.3092688043928722</v>
      </c>
      <c r="F13" s="693">
        <f>Datos!$K$96*'CUADRO 14 ISR Enaje'!E13/100</f>
        <v>923707.52175714879</v>
      </c>
      <c r="G13" s="694">
        <f>'CUADRO 2 -Predial y Agua'!D11</f>
        <v>76556</v>
      </c>
      <c r="H13" s="695">
        <f>'CUADRO 2 -Predial y Agua'!G11</f>
        <v>149782.22</v>
      </c>
      <c r="I13" s="691">
        <f t="shared" si="3"/>
        <v>1.9565053033073829</v>
      </c>
      <c r="J13" s="691">
        <f t="shared" si="4"/>
        <v>8.8018635005932371</v>
      </c>
      <c r="K13" s="700">
        <f t="shared" si="5"/>
        <v>2.6405590501779712</v>
      </c>
      <c r="L13" s="696">
        <f>Datos!$K$96*'CUADRO 14 ISR Enaje'!K13/100</f>
        <v>1056223.6200711885</v>
      </c>
      <c r="M13" s="701">
        <f t="shared" si="6"/>
        <v>1979931.1418283372</v>
      </c>
      <c r="N13" s="700">
        <f t="shared" si="7"/>
        <v>4.9498278545708434</v>
      </c>
      <c r="O13" s="700">
        <f t="shared" si="8"/>
        <v>0.2020272278916862</v>
      </c>
      <c r="P13" s="700">
        <f t="shared" si="9"/>
        <v>3.0134138112559898</v>
      </c>
      <c r="Q13" s="700">
        <f t="shared" si="10"/>
        <v>0.30134138112559899</v>
      </c>
      <c r="R13" s="698">
        <f>Datos!$K$96*'CUADRO 14 ISR Enaje'!Q13/100</f>
        <v>120536.5524502396</v>
      </c>
      <c r="S13" s="699">
        <f t="shared" si="11"/>
        <v>2100467.6942785769</v>
      </c>
      <c r="T13" s="73">
        <f t="shared" si="12"/>
        <v>5.2511692356964428</v>
      </c>
      <c r="U13" s="74"/>
      <c r="V13" s="75">
        <v>5.0856642738427809</v>
      </c>
      <c r="W13" s="75">
        <f t="shared" si="0"/>
        <v>-3.1291589705353982</v>
      </c>
      <c r="Y13" s="74"/>
      <c r="Z13" s="76"/>
      <c r="AA13" s="74"/>
      <c r="AB13" s="74"/>
    </row>
    <row r="14" spans="2:28" s="5" customFormat="1" ht="16.5" customHeight="1" x14ac:dyDescent="0.25">
      <c r="B14" s="689" t="s">
        <v>51</v>
      </c>
      <c r="C14" s="690">
        <f>'CUADRO 1 - CENSO 2020'!C15</f>
        <v>12230</v>
      </c>
      <c r="D14" s="691">
        <f t="shared" si="1"/>
        <v>0.98991789266473262</v>
      </c>
      <c r="E14" s="692">
        <f t="shared" si="2"/>
        <v>0.5939507355988396</v>
      </c>
      <c r="F14" s="693">
        <f>Datos!$K$96*'CUADRO 14 ISR Enaje'!E14/100</f>
        <v>237580.29423953584</v>
      </c>
      <c r="G14" s="694">
        <f>'CUADRO 2 -Predial y Agua'!D12</f>
        <v>165039</v>
      </c>
      <c r="H14" s="695">
        <f>'CUADRO 2 -Predial y Agua'!G12</f>
        <v>160663.66</v>
      </c>
      <c r="I14" s="691">
        <f t="shared" si="3"/>
        <v>0.97348905410236375</v>
      </c>
      <c r="J14" s="691">
        <f t="shared" si="4"/>
        <v>4.3795014299454964</v>
      </c>
      <c r="K14" s="700">
        <f t="shared" si="5"/>
        <v>1.3138504289836488</v>
      </c>
      <c r="L14" s="696">
        <f>Datos!$K$96*'CUADRO 14 ISR Enaje'!K14/100</f>
        <v>525540.17159345956</v>
      </c>
      <c r="M14" s="701">
        <f t="shared" si="6"/>
        <v>763120.46583299537</v>
      </c>
      <c r="N14" s="700">
        <f t="shared" si="7"/>
        <v>1.9078011645824884</v>
      </c>
      <c r="O14" s="700">
        <f t="shared" si="8"/>
        <v>0.52416363851986869</v>
      </c>
      <c r="P14" s="700">
        <f t="shared" si="9"/>
        <v>7.8183617335025799</v>
      </c>
      <c r="Q14" s="700">
        <f t="shared" si="10"/>
        <v>0.78183617335025801</v>
      </c>
      <c r="R14" s="698">
        <f>Datos!$K$96*'CUADRO 14 ISR Enaje'!Q14/100</f>
        <v>312734.46934010321</v>
      </c>
      <c r="S14" s="699">
        <f t="shared" si="11"/>
        <v>1075854.9351730985</v>
      </c>
      <c r="T14" s="73">
        <f t="shared" si="12"/>
        <v>2.6896373379327465</v>
      </c>
      <c r="U14" s="74"/>
      <c r="V14" s="75">
        <v>0.76323116375625843</v>
      </c>
      <c r="W14" s="75">
        <f t="shared" si="0"/>
        <v>0.21025789034610531</v>
      </c>
      <c r="Y14" s="74"/>
      <c r="Z14" s="76"/>
      <c r="AA14" s="74"/>
      <c r="AB14" s="74"/>
    </row>
    <row r="15" spans="2:28" s="5" customFormat="1" ht="16.5" customHeight="1" x14ac:dyDescent="0.25">
      <c r="B15" s="689" t="s">
        <v>52</v>
      </c>
      <c r="C15" s="690">
        <f>'CUADRO 1 - CENSO 2020'!C16</f>
        <v>29299</v>
      </c>
      <c r="D15" s="691">
        <f t="shared" si="1"/>
        <v>2.3715130283878989</v>
      </c>
      <c r="E15" s="692">
        <f t="shared" si="2"/>
        <v>1.4229078170327394</v>
      </c>
      <c r="F15" s="693">
        <f>Datos!$K$96*'CUADRO 14 ISR Enaje'!E15/100</f>
        <v>569163.12681309576</v>
      </c>
      <c r="G15" s="694">
        <f>'CUADRO 2 -Predial y Agua'!D13</f>
        <v>15911232</v>
      </c>
      <c r="H15" s="695">
        <f>'CUADRO 2 -Predial y Agua'!G13</f>
        <v>15707836.32</v>
      </c>
      <c r="I15" s="691">
        <f t="shared" si="3"/>
        <v>0.98721684907868856</v>
      </c>
      <c r="J15" s="691">
        <f t="shared" si="4"/>
        <v>4.4412595950480815</v>
      </c>
      <c r="K15" s="700">
        <f t="shared" si="5"/>
        <v>1.3323778785144245</v>
      </c>
      <c r="L15" s="696">
        <f>Datos!$K$96*'CUADRO 14 ISR Enaje'!K15/100</f>
        <v>532951.15140576987</v>
      </c>
      <c r="M15" s="701">
        <f t="shared" si="6"/>
        <v>1102114.2782188656</v>
      </c>
      <c r="N15" s="700">
        <f t="shared" si="7"/>
        <v>2.7552856955471636</v>
      </c>
      <c r="O15" s="700">
        <f t="shared" si="8"/>
        <v>0.36293876951348708</v>
      </c>
      <c r="P15" s="700">
        <f t="shared" si="9"/>
        <v>5.4135509956042096</v>
      </c>
      <c r="Q15" s="700">
        <f t="shared" si="10"/>
        <v>0.54135509956042094</v>
      </c>
      <c r="R15" s="698">
        <f>Datos!$K$96*'CUADRO 14 ISR Enaje'!Q15/100</f>
        <v>216542.03982416837</v>
      </c>
      <c r="S15" s="699">
        <f t="shared" si="11"/>
        <v>1318656.3180430341</v>
      </c>
      <c r="T15" s="73">
        <f t="shared" si="12"/>
        <v>3.2966407951075847</v>
      </c>
      <c r="U15" s="74"/>
      <c r="V15" s="75">
        <v>1.5455894402307131</v>
      </c>
      <c r="W15" s="75">
        <f t="shared" si="0"/>
        <v>-0.55837259115202453</v>
      </c>
      <c r="Y15" s="74"/>
      <c r="Z15" s="76"/>
      <c r="AA15" s="74"/>
      <c r="AB15" s="74"/>
    </row>
    <row r="16" spans="2:28" s="5" customFormat="1" ht="16.5" customHeight="1" x14ac:dyDescent="0.25">
      <c r="B16" s="689" t="s">
        <v>53</v>
      </c>
      <c r="C16" s="690">
        <f>'CUADRO 1 - CENSO 2020'!C17</f>
        <v>19321</v>
      </c>
      <c r="D16" s="691">
        <f t="shared" si="1"/>
        <v>1.563876010153336</v>
      </c>
      <c r="E16" s="692">
        <f t="shared" si="2"/>
        <v>0.93832560609200155</v>
      </c>
      <c r="F16" s="693">
        <f>Datos!$K$96*'CUADRO 14 ISR Enaje'!E16/100</f>
        <v>375330.24243680062</v>
      </c>
      <c r="G16" s="694">
        <f>'CUADRO 2 -Predial y Agua'!D14</f>
        <v>5365129</v>
      </c>
      <c r="H16" s="695">
        <f>'CUADRO 2 -Predial y Agua'!G14</f>
        <v>5242636.2899999991</v>
      </c>
      <c r="I16" s="691">
        <f t="shared" si="3"/>
        <v>0.97716872977331937</v>
      </c>
      <c r="J16" s="691">
        <f t="shared" si="4"/>
        <v>4.3960554371988643</v>
      </c>
      <c r="K16" s="700">
        <f t="shared" si="5"/>
        <v>1.3188166311596592</v>
      </c>
      <c r="L16" s="696">
        <f>Datos!$K$96*'CUADRO 14 ISR Enaje'!K16/100</f>
        <v>527526.6524638636</v>
      </c>
      <c r="M16" s="701">
        <f t="shared" si="6"/>
        <v>902856.89490066422</v>
      </c>
      <c r="N16" s="700">
        <f t="shared" si="7"/>
        <v>2.257142237251661</v>
      </c>
      <c r="O16" s="700">
        <f t="shared" si="8"/>
        <v>0.44303809635746255</v>
      </c>
      <c r="P16" s="700">
        <f t="shared" si="9"/>
        <v>6.6083029124762831</v>
      </c>
      <c r="Q16" s="700">
        <f t="shared" si="10"/>
        <v>0.66083029124762838</v>
      </c>
      <c r="R16" s="698">
        <f>Datos!$K$96*'CUADRO 14 ISR Enaje'!Q16/100</f>
        <v>264332.11649905134</v>
      </c>
      <c r="S16" s="699">
        <f t="shared" si="11"/>
        <v>1167189.0113997157</v>
      </c>
      <c r="T16" s="73">
        <f t="shared" si="12"/>
        <v>2.9179725284992895</v>
      </c>
      <c r="U16" s="74"/>
      <c r="V16" s="75">
        <v>1.3217513416832607</v>
      </c>
      <c r="W16" s="75">
        <f t="shared" si="0"/>
        <v>-0.34458261190994133</v>
      </c>
      <c r="Y16" s="74"/>
      <c r="Z16" s="76"/>
      <c r="AA16" s="74"/>
      <c r="AB16" s="74"/>
    </row>
    <row r="17" spans="2:28" s="5" customFormat="1" ht="16.5" customHeight="1" x14ac:dyDescent="0.25">
      <c r="B17" s="689" t="s">
        <v>54</v>
      </c>
      <c r="C17" s="690">
        <f>'CUADRO 1 - CENSO 2020'!C18</f>
        <v>13719</v>
      </c>
      <c r="D17" s="691">
        <f t="shared" si="1"/>
        <v>1.1104401937422297</v>
      </c>
      <c r="E17" s="692">
        <f t="shared" si="2"/>
        <v>0.66626411624533777</v>
      </c>
      <c r="F17" s="693">
        <f>Datos!$K$96*'CUADRO 14 ISR Enaje'!E17/100</f>
        <v>266505.64649813512</v>
      </c>
      <c r="G17" s="694">
        <f>'CUADRO 2 -Predial y Agua'!D15</f>
        <v>1487759</v>
      </c>
      <c r="H17" s="695">
        <f>'CUADRO 2 -Predial y Agua'!G15</f>
        <v>1417630.02</v>
      </c>
      <c r="I17" s="691">
        <f t="shared" si="3"/>
        <v>0.95286267466706642</v>
      </c>
      <c r="J17" s="691">
        <f t="shared" si="4"/>
        <v>4.2867081336564299</v>
      </c>
      <c r="K17" s="700">
        <f t="shared" si="5"/>
        <v>1.2860124400969288</v>
      </c>
      <c r="L17" s="696">
        <f>Datos!$K$96*'CUADRO 14 ISR Enaje'!K17/100</f>
        <v>514404.97603877157</v>
      </c>
      <c r="M17" s="701">
        <f t="shared" si="6"/>
        <v>780910.62253690674</v>
      </c>
      <c r="N17" s="700">
        <f t="shared" si="7"/>
        <v>1.9522765563422666</v>
      </c>
      <c r="O17" s="700">
        <f t="shared" si="8"/>
        <v>0.51222251107372485</v>
      </c>
      <c r="P17" s="700">
        <f t="shared" si="9"/>
        <v>7.6402493139851977</v>
      </c>
      <c r="Q17" s="700">
        <f t="shared" si="10"/>
        <v>0.76402493139851979</v>
      </c>
      <c r="R17" s="698">
        <f>Datos!$K$96*'CUADRO 14 ISR Enaje'!Q17/100</f>
        <v>305609.97255940794</v>
      </c>
      <c r="S17" s="699">
        <f t="shared" si="11"/>
        <v>1086520.5950963148</v>
      </c>
      <c r="T17" s="73">
        <f t="shared" si="12"/>
        <v>2.7163014877407865</v>
      </c>
      <c r="U17" s="74"/>
      <c r="V17" s="75">
        <v>1.0641937928415424</v>
      </c>
      <c r="W17" s="75">
        <f t="shared" si="0"/>
        <v>-0.11133111817447594</v>
      </c>
      <c r="Y17" s="74"/>
      <c r="Z17" s="76"/>
      <c r="AA17" s="74"/>
      <c r="AB17" s="74"/>
    </row>
    <row r="18" spans="2:28" s="5" customFormat="1" ht="16.5" customHeight="1" x14ac:dyDescent="0.25">
      <c r="B18" s="689" t="s">
        <v>55</v>
      </c>
      <c r="C18" s="690">
        <f>'CUADRO 1 - CENSO 2020'!C19</f>
        <v>33567</v>
      </c>
      <c r="D18" s="691">
        <f t="shared" si="1"/>
        <v>2.7169725186489848</v>
      </c>
      <c r="E18" s="692">
        <f t="shared" si="2"/>
        <v>1.6301835111893908</v>
      </c>
      <c r="F18" s="693">
        <f>Datos!$K$96*'CUADRO 14 ISR Enaje'!E18/100</f>
        <v>652073.40447575634</v>
      </c>
      <c r="G18" s="694">
        <f>'CUADRO 2 -Predial y Agua'!D16</f>
        <v>3313181</v>
      </c>
      <c r="H18" s="695">
        <f>'CUADRO 2 -Predial y Agua'!G16</f>
        <v>3914840.08</v>
      </c>
      <c r="I18" s="691">
        <f t="shared" si="3"/>
        <v>1.1815955964977465</v>
      </c>
      <c r="J18" s="691">
        <f t="shared" si="4"/>
        <v>5.3157244888087307</v>
      </c>
      <c r="K18" s="700">
        <f t="shared" si="5"/>
        <v>1.5947173466426192</v>
      </c>
      <c r="L18" s="696">
        <f>Datos!$K$96*'CUADRO 14 ISR Enaje'!K18/100</f>
        <v>637886.93865704769</v>
      </c>
      <c r="M18" s="701">
        <f t="shared" si="6"/>
        <v>1289960.3431328041</v>
      </c>
      <c r="N18" s="700">
        <f t="shared" si="7"/>
        <v>3.2249008578320097</v>
      </c>
      <c r="O18" s="700">
        <f t="shared" si="8"/>
        <v>0.31008705200080655</v>
      </c>
      <c r="P18" s="700">
        <f t="shared" si="9"/>
        <v>4.6252211394587865</v>
      </c>
      <c r="Q18" s="700">
        <f t="shared" si="10"/>
        <v>0.46252211394587867</v>
      </c>
      <c r="R18" s="698">
        <f>Datos!$K$96*'CUADRO 14 ISR Enaje'!Q18/100</f>
        <v>185008.84557835147</v>
      </c>
      <c r="S18" s="699">
        <f t="shared" si="11"/>
        <v>1474969.1887111557</v>
      </c>
      <c r="T18" s="73">
        <f t="shared" si="12"/>
        <v>3.6874229717778886</v>
      </c>
      <c r="U18" s="74"/>
      <c r="V18" s="75">
        <v>0.85819469233584766</v>
      </c>
      <c r="W18" s="75">
        <f t="shared" si="0"/>
        <v>0.32340090416189882</v>
      </c>
      <c r="Y18" s="74"/>
      <c r="Z18" s="76"/>
      <c r="AA18" s="74"/>
      <c r="AB18" s="74"/>
    </row>
    <row r="19" spans="2:28" s="5" customFormat="1" ht="16.5" customHeight="1" x14ac:dyDescent="0.25">
      <c r="B19" s="689" t="s">
        <v>56</v>
      </c>
      <c r="C19" s="690">
        <f>'CUADRO 1 - CENSO 2020'!C20</f>
        <v>24096</v>
      </c>
      <c r="D19" s="691">
        <f t="shared" si="1"/>
        <v>1.9503729796933278</v>
      </c>
      <c r="E19" s="692">
        <f t="shared" si="2"/>
        <v>1.1702237878159967</v>
      </c>
      <c r="F19" s="693">
        <f>Datos!$K$96*'CUADRO 14 ISR Enaje'!E19/100</f>
        <v>468089.51512639865</v>
      </c>
      <c r="G19" s="694">
        <f>'CUADRO 2 -Predial y Agua'!D17</f>
        <v>3637131</v>
      </c>
      <c r="H19" s="695">
        <f>'CUADRO 2 -Predial y Agua'!G17</f>
        <v>3308501.2800000003</v>
      </c>
      <c r="I19" s="691">
        <f t="shared" si="3"/>
        <v>0.909645893975224</v>
      </c>
      <c r="J19" s="691">
        <f t="shared" si="4"/>
        <v>4.092285862507131</v>
      </c>
      <c r="K19" s="700">
        <f t="shared" si="5"/>
        <v>1.2276857587521393</v>
      </c>
      <c r="L19" s="696">
        <f>Datos!$K$96*'CUADRO 14 ISR Enaje'!K19/100</f>
        <v>491074.30350085569</v>
      </c>
      <c r="M19" s="701">
        <f t="shared" si="6"/>
        <v>959163.81862725434</v>
      </c>
      <c r="N19" s="700">
        <f t="shared" si="7"/>
        <v>2.3979095465681359</v>
      </c>
      <c r="O19" s="700">
        <f t="shared" si="8"/>
        <v>0.41702990900185954</v>
      </c>
      <c r="P19" s="700">
        <f t="shared" si="9"/>
        <v>6.2203679207378118</v>
      </c>
      <c r="Q19" s="700">
        <f t="shared" si="10"/>
        <v>0.62203679207378126</v>
      </c>
      <c r="R19" s="698">
        <f>Datos!$K$96*'CUADRO 14 ISR Enaje'!Q19/100</f>
        <v>248814.7168295125</v>
      </c>
      <c r="S19" s="699">
        <f t="shared" si="11"/>
        <v>1207978.5354567668</v>
      </c>
      <c r="T19" s="73">
        <f t="shared" si="12"/>
        <v>3.0199463386419172</v>
      </c>
      <c r="U19" s="74"/>
      <c r="V19" s="75">
        <v>0.30847701853884074</v>
      </c>
      <c r="W19" s="75">
        <f t="shared" si="0"/>
        <v>0.60116887543638331</v>
      </c>
      <c r="Y19" s="74"/>
      <c r="Z19" s="76"/>
      <c r="AA19" s="74"/>
      <c r="AB19" s="74"/>
    </row>
    <row r="20" spans="2:28" s="5" customFormat="1" ht="16.5" customHeight="1" x14ac:dyDescent="0.25">
      <c r="B20" s="689" t="s">
        <v>57</v>
      </c>
      <c r="C20" s="690">
        <f>'CUADRO 1 - CENSO 2020'!C21</f>
        <v>41518</v>
      </c>
      <c r="D20" s="691">
        <f t="shared" si="1"/>
        <v>3.3605405615416495</v>
      </c>
      <c r="E20" s="692">
        <f t="shared" si="2"/>
        <v>2.0163243369249897</v>
      </c>
      <c r="F20" s="693">
        <f>Datos!$K$96*'CUADRO 14 ISR Enaje'!E20/100</f>
        <v>806529.73476999579</v>
      </c>
      <c r="G20" s="694">
        <f>'CUADRO 2 -Predial y Agua'!D18</f>
        <v>8815160</v>
      </c>
      <c r="H20" s="695">
        <f>'CUADRO 2 -Predial y Agua'!G18</f>
        <v>9332427.3200000003</v>
      </c>
      <c r="I20" s="691">
        <f t="shared" si="3"/>
        <v>1.0586792888614613</v>
      </c>
      <c r="J20" s="691">
        <f t="shared" si="4"/>
        <v>4.7627525341799242</v>
      </c>
      <c r="K20" s="700">
        <f t="shared" si="5"/>
        <v>1.4288257602539771</v>
      </c>
      <c r="L20" s="696">
        <f>Datos!$K$96*'CUADRO 14 ISR Enaje'!K20/100</f>
        <v>571530.30410159077</v>
      </c>
      <c r="M20" s="701">
        <f t="shared" si="6"/>
        <v>1378060.0388715866</v>
      </c>
      <c r="N20" s="700">
        <f t="shared" si="7"/>
        <v>3.445150097178967</v>
      </c>
      <c r="O20" s="700">
        <f t="shared" si="8"/>
        <v>0.29026311533388394</v>
      </c>
      <c r="P20" s="700">
        <f t="shared" si="9"/>
        <v>4.3295296865344506</v>
      </c>
      <c r="Q20" s="700">
        <f t="shared" si="10"/>
        <v>0.43295296865344507</v>
      </c>
      <c r="R20" s="698">
        <f>Datos!$K$96*'CUADRO 14 ISR Enaje'!Q20/100</f>
        <v>173181.18746137802</v>
      </c>
      <c r="S20" s="699">
        <f t="shared" si="11"/>
        <v>1551241.2263329646</v>
      </c>
      <c r="T20" s="73">
        <f t="shared" si="12"/>
        <v>3.8781030658324123</v>
      </c>
      <c r="U20" s="74"/>
      <c r="V20" s="75">
        <v>0.9189459125639704</v>
      </c>
      <c r="W20" s="75">
        <f t="shared" si="0"/>
        <v>0.13973337629749094</v>
      </c>
      <c r="Y20" s="74"/>
      <c r="Z20" s="76"/>
      <c r="AA20" s="74"/>
      <c r="AB20" s="74"/>
    </row>
    <row r="21" spans="2:28" s="5" customFormat="1" ht="16.5" customHeight="1" x14ac:dyDescent="0.25">
      <c r="B21" s="689" t="s">
        <v>58</v>
      </c>
      <c r="C21" s="690">
        <f>'CUADRO 1 - CENSO 2020'!C22</f>
        <v>7683</v>
      </c>
      <c r="D21" s="691">
        <f t="shared" si="1"/>
        <v>0.62187564753418989</v>
      </c>
      <c r="E21" s="692">
        <f t="shared" si="2"/>
        <v>0.37312538852051391</v>
      </c>
      <c r="F21" s="693">
        <f>Datos!$K$96*'CUADRO 14 ISR Enaje'!E21/100</f>
        <v>149250.15540820555</v>
      </c>
      <c r="G21" s="694">
        <f>'CUADRO 2 -Predial y Agua'!D19</f>
        <v>2474442</v>
      </c>
      <c r="H21" s="695">
        <f>'CUADRO 2 -Predial y Agua'!G19</f>
        <v>2544565.9000000004</v>
      </c>
      <c r="I21" s="691">
        <f t="shared" si="3"/>
        <v>1.0283392781079534</v>
      </c>
      <c r="J21" s="691">
        <f t="shared" si="4"/>
        <v>4.626259863903246</v>
      </c>
      <c r="K21" s="700">
        <f t="shared" si="5"/>
        <v>1.3878779591709738</v>
      </c>
      <c r="L21" s="696">
        <f>Datos!$K$96*'CUADRO 14 ISR Enaje'!K21/100</f>
        <v>555151.18366838957</v>
      </c>
      <c r="M21" s="701">
        <f t="shared" si="6"/>
        <v>704401.33907659515</v>
      </c>
      <c r="N21" s="700">
        <f t="shared" si="7"/>
        <v>1.7610033476914877</v>
      </c>
      <c r="O21" s="700">
        <f t="shared" si="8"/>
        <v>0.56785809141754751</v>
      </c>
      <c r="P21" s="700">
        <f t="shared" si="9"/>
        <v>8.4701029329993744</v>
      </c>
      <c r="Q21" s="700">
        <f t="shared" si="10"/>
        <v>0.84701029329993749</v>
      </c>
      <c r="R21" s="698">
        <f>Datos!$K$96*'CUADRO 14 ISR Enaje'!Q21/100</f>
        <v>338804.11731997499</v>
      </c>
      <c r="S21" s="699">
        <f t="shared" si="11"/>
        <v>1043205.4563965702</v>
      </c>
      <c r="T21" s="73">
        <f t="shared" si="12"/>
        <v>2.608013640991425</v>
      </c>
      <c r="U21" s="74"/>
      <c r="V21" s="75">
        <v>0.95554775379956836</v>
      </c>
      <c r="W21" s="75">
        <f t="shared" si="0"/>
        <v>7.2791524308385092E-2</v>
      </c>
      <c r="Y21" s="74"/>
      <c r="Z21" s="76"/>
      <c r="AA21" s="74"/>
      <c r="AB21" s="74"/>
    </row>
    <row r="22" spans="2:28" s="5" customFormat="1" ht="16.5" customHeight="1" x14ac:dyDescent="0.25">
      <c r="B22" s="689" t="s">
        <v>59</v>
      </c>
      <c r="C22" s="690">
        <f>'CUADRO 1 - CENSO 2020'!C23</f>
        <v>24911</v>
      </c>
      <c r="D22" s="691">
        <f t="shared" si="1"/>
        <v>2.0163405252797348</v>
      </c>
      <c r="E22" s="692">
        <f t="shared" si="2"/>
        <v>1.2098043151678408</v>
      </c>
      <c r="F22" s="693">
        <f>Datos!$K$96*'CUADRO 14 ISR Enaje'!E22/100</f>
        <v>483921.72606713627</v>
      </c>
      <c r="G22" s="694">
        <f>'CUADRO 2 -Predial y Agua'!D20</f>
        <v>5528028</v>
      </c>
      <c r="H22" s="695">
        <f>'CUADRO 2 -Predial y Agua'!G20</f>
        <v>4892870.55</v>
      </c>
      <c r="I22" s="691">
        <f t="shared" si="3"/>
        <v>0.88510234571894353</v>
      </c>
      <c r="J22" s="691">
        <f t="shared" si="4"/>
        <v>3.9818701323750343</v>
      </c>
      <c r="K22" s="700">
        <f t="shared" si="5"/>
        <v>1.1945610397125102</v>
      </c>
      <c r="L22" s="696">
        <f>Datos!$K$96*'CUADRO 14 ISR Enaje'!K22/100</f>
        <v>477824.41588500404</v>
      </c>
      <c r="M22" s="701">
        <f t="shared" si="6"/>
        <v>961746.14195214026</v>
      </c>
      <c r="N22" s="700">
        <f t="shared" si="7"/>
        <v>2.4043653548803512</v>
      </c>
      <c r="O22" s="700">
        <f t="shared" si="8"/>
        <v>0.41591016854830831</v>
      </c>
      <c r="P22" s="700">
        <f t="shared" si="9"/>
        <v>6.2036660069266576</v>
      </c>
      <c r="Q22" s="700">
        <f t="shared" si="10"/>
        <v>0.6203666006926658</v>
      </c>
      <c r="R22" s="698">
        <f>Datos!$K$96*'CUADRO 14 ISR Enaje'!Q22/100</f>
        <v>248146.6402770663</v>
      </c>
      <c r="S22" s="699">
        <f t="shared" si="11"/>
        <v>1209892.7822292065</v>
      </c>
      <c r="T22" s="73">
        <f t="shared" si="12"/>
        <v>3.0247319555730172</v>
      </c>
      <c r="U22" s="74"/>
      <c r="V22" s="75">
        <v>1.699762368686244</v>
      </c>
      <c r="W22" s="75">
        <f t="shared" si="0"/>
        <v>-0.81466002296730045</v>
      </c>
      <c r="Y22" s="74"/>
      <c r="Z22" s="76"/>
      <c r="AA22" s="74"/>
      <c r="AB22" s="74"/>
    </row>
    <row r="23" spans="2:28" s="5" customFormat="1" ht="16.5" customHeight="1" x14ac:dyDescent="0.25">
      <c r="B23" s="689" t="s">
        <v>60</v>
      </c>
      <c r="C23" s="690">
        <f>'CUADRO 1 - CENSO 2020'!C24</f>
        <v>93981</v>
      </c>
      <c r="D23" s="691">
        <f t="shared" si="1"/>
        <v>7.6069888365105687</v>
      </c>
      <c r="E23" s="692">
        <f t="shared" si="2"/>
        <v>4.5641933019063412</v>
      </c>
      <c r="F23" s="693">
        <f>Datos!$K$96*'CUADRO 14 ISR Enaje'!E23/100</f>
        <v>1825677.3207625365</v>
      </c>
      <c r="G23" s="694">
        <f>'CUADRO 2 -Predial y Agua'!D21</f>
        <v>16766723</v>
      </c>
      <c r="H23" s="695">
        <f>'CUADRO 2 -Predial y Agua'!G21</f>
        <v>27929195.390000001</v>
      </c>
      <c r="I23" s="691">
        <f t="shared" si="3"/>
        <v>1.665751583657701</v>
      </c>
      <c r="J23" s="691">
        <f t="shared" si="4"/>
        <v>7.4938299632856271</v>
      </c>
      <c r="K23" s="700">
        <f t="shared" si="5"/>
        <v>2.248148988985688</v>
      </c>
      <c r="L23" s="696">
        <f>Datos!$K$96*'CUADRO 14 ISR Enaje'!K23/100</f>
        <v>899259.59559427516</v>
      </c>
      <c r="M23" s="701">
        <f t="shared" si="6"/>
        <v>2724936.9163568118</v>
      </c>
      <c r="N23" s="700">
        <f t="shared" si="7"/>
        <v>6.8123422908920297</v>
      </c>
      <c r="O23" s="700">
        <f t="shared" si="8"/>
        <v>0.14679238906374106</v>
      </c>
      <c r="P23" s="700">
        <f t="shared" si="9"/>
        <v>2.1895376044515009</v>
      </c>
      <c r="Q23" s="700">
        <f t="shared" si="10"/>
        <v>0.21895376044515011</v>
      </c>
      <c r="R23" s="698">
        <f>Datos!$K$96*'CUADRO 14 ISR Enaje'!Q23/100</f>
        <v>87581.504178060044</v>
      </c>
      <c r="S23" s="699">
        <f t="shared" si="11"/>
        <v>2812518.420534872</v>
      </c>
      <c r="T23" s="73">
        <f t="shared" si="12"/>
        <v>7.0312960513371801</v>
      </c>
      <c r="U23" s="74"/>
      <c r="V23" s="75">
        <v>1.2135546261977699</v>
      </c>
      <c r="W23" s="75">
        <f t="shared" si="0"/>
        <v>0.45219695745993116</v>
      </c>
      <c r="Y23" s="74"/>
      <c r="Z23" s="76"/>
      <c r="AA23" s="74"/>
      <c r="AB23" s="74"/>
    </row>
    <row r="24" spans="2:28" s="5" customFormat="1" ht="16.5" customHeight="1" x14ac:dyDescent="0.25">
      <c r="B24" s="689" t="s">
        <v>61</v>
      </c>
      <c r="C24" s="690">
        <f>'CUADRO 1 - CENSO 2020'!C25</f>
        <v>37135</v>
      </c>
      <c r="D24" s="691">
        <f t="shared" si="1"/>
        <v>3.0057727673021133</v>
      </c>
      <c r="E24" s="692">
        <f t="shared" si="2"/>
        <v>1.8034636603812679</v>
      </c>
      <c r="F24" s="693">
        <f>Datos!$K$96*'CUADRO 14 ISR Enaje'!E24/100</f>
        <v>721385.46415250713</v>
      </c>
      <c r="G24" s="694">
        <f>'CUADRO 2 -Predial y Agua'!D22</f>
        <v>8099581</v>
      </c>
      <c r="H24" s="695">
        <f>'CUADRO 2 -Predial y Agua'!G22</f>
        <v>7019368.6100000003</v>
      </c>
      <c r="I24" s="691">
        <f t="shared" si="3"/>
        <v>0.86663354684643568</v>
      </c>
      <c r="J24" s="691">
        <f t="shared" si="4"/>
        <v>3.8987832905346749</v>
      </c>
      <c r="K24" s="700">
        <f t="shared" si="5"/>
        <v>1.1696349871604024</v>
      </c>
      <c r="L24" s="696">
        <f>Datos!$K$96*'CUADRO 14 ISR Enaje'!K24/100</f>
        <v>467853.99486416095</v>
      </c>
      <c r="M24" s="701">
        <f t="shared" si="6"/>
        <v>1189239.4590166681</v>
      </c>
      <c r="N24" s="700">
        <f t="shared" si="7"/>
        <v>2.9730986475416703</v>
      </c>
      <c r="O24" s="700">
        <f t="shared" si="8"/>
        <v>0.33634941808165625</v>
      </c>
      <c r="P24" s="700">
        <f t="shared" si="9"/>
        <v>5.0169474304650796</v>
      </c>
      <c r="Q24" s="700">
        <f t="shared" si="10"/>
        <v>0.50169474304650796</v>
      </c>
      <c r="R24" s="698">
        <f>Datos!$K$96*'CUADRO 14 ISR Enaje'!Q24/100</f>
        <v>200677.8972186032</v>
      </c>
      <c r="S24" s="699">
        <f t="shared" si="11"/>
        <v>1389917.3562352713</v>
      </c>
      <c r="T24" s="73">
        <f t="shared" si="12"/>
        <v>3.4747933905881783</v>
      </c>
      <c r="U24" s="74"/>
      <c r="V24" s="75">
        <v>0.93743913529070699</v>
      </c>
      <c r="W24" s="75">
        <f t="shared" si="0"/>
        <v>-7.0805588444271317E-2</v>
      </c>
      <c r="Y24" s="74"/>
      <c r="Z24" s="76"/>
      <c r="AA24" s="74"/>
      <c r="AB24" s="74"/>
    </row>
    <row r="25" spans="2:28" s="5" customFormat="1" ht="16.5" customHeight="1" x14ac:dyDescent="0.25">
      <c r="B25" s="689" t="s">
        <v>62</v>
      </c>
      <c r="C25" s="690">
        <f>'CUADRO 1 - CENSO 2020'!C26</f>
        <v>425924</v>
      </c>
      <c r="D25" s="691">
        <f t="shared" si="1"/>
        <v>34.475044032324909</v>
      </c>
      <c r="E25" s="692">
        <f t="shared" si="2"/>
        <v>20.685026419394944</v>
      </c>
      <c r="F25" s="693">
        <f>Datos!$K$96*'CUADRO 14 ISR Enaje'!E25/100</f>
        <v>8274010.5677579772</v>
      </c>
      <c r="G25" s="694">
        <f>'CUADRO 2 -Predial y Agua'!D23</f>
        <v>329424771</v>
      </c>
      <c r="H25" s="695">
        <f>'CUADRO 2 -Predial y Agua'!G23</f>
        <v>341491450.50999999</v>
      </c>
      <c r="I25" s="691">
        <f t="shared" si="3"/>
        <v>1.0366295451109231</v>
      </c>
      <c r="J25" s="691">
        <f t="shared" si="4"/>
        <v>4.6635558520205587</v>
      </c>
      <c r="K25" s="700">
        <f t="shared" si="5"/>
        <v>1.3990667556061676</v>
      </c>
      <c r="L25" s="696">
        <f>Datos!$K$96*'CUADRO 14 ISR Enaje'!K25/100</f>
        <v>559626.70224246709</v>
      </c>
      <c r="M25" s="701">
        <f t="shared" si="6"/>
        <v>8833637.2700004447</v>
      </c>
      <c r="N25" s="700">
        <f t="shared" si="7"/>
        <v>22.084093175001112</v>
      </c>
      <c r="O25" s="700">
        <f t="shared" si="8"/>
        <v>4.5281460826835589E-2</v>
      </c>
      <c r="P25" s="700">
        <f t="shared" si="9"/>
        <v>0.67541281872456305</v>
      </c>
      <c r="Q25" s="700">
        <f t="shared" si="10"/>
        <v>6.754128187245631E-2</v>
      </c>
      <c r="R25" s="698">
        <f>Datos!$K$96*'CUADRO 14 ISR Enaje'!Q25/100</f>
        <v>27016.512748982524</v>
      </c>
      <c r="S25" s="699">
        <f t="shared" si="11"/>
        <v>8860653.7827494275</v>
      </c>
      <c r="T25" s="73">
        <f t="shared" si="12"/>
        <v>22.151634456873566</v>
      </c>
      <c r="U25" s="74"/>
      <c r="V25" s="75">
        <v>0.78971025252641724</v>
      </c>
      <c r="W25" s="75">
        <f t="shared" si="0"/>
        <v>0.24691929258450585</v>
      </c>
      <c r="Y25" s="74"/>
      <c r="Z25" s="76"/>
      <c r="AA25" s="74"/>
      <c r="AB25" s="74"/>
    </row>
    <row r="26" spans="2:28" s="5" customFormat="1" ht="16.5" customHeight="1" x14ac:dyDescent="0.25">
      <c r="B26" s="689" t="s">
        <v>63</v>
      </c>
      <c r="C26" s="690">
        <f>'CUADRO 1 - CENSO 2020'!C27</f>
        <v>30064</v>
      </c>
      <c r="D26" s="691">
        <f t="shared" si="1"/>
        <v>2.4334334852880231</v>
      </c>
      <c r="E26" s="692">
        <f t="shared" si="2"/>
        <v>1.4600600911728139</v>
      </c>
      <c r="F26" s="693">
        <f>Datos!$K$96*'CUADRO 14 ISR Enaje'!E26/100</f>
        <v>584024.03646912554</v>
      </c>
      <c r="G26" s="694">
        <f>'CUADRO 2 -Predial y Agua'!D24</f>
        <v>4053100</v>
      </c>
      <c r="H26" s="695">
        <f>'CUADRO 2 -Predial y Agua'!G24</f>
        <v>5251750.58</v>
      </c>
      <c r="I26" s="691">
        <f t="shared" si="3"/>
        <v>1.2957367397794282</v>
      </c>
      <c r="J26" s="691">
        <f t="shared" si="4"/>
        <v>5.829219014618956</v>
      </c>
      <c r="K26" s="700">
        <f t="shared" si="5"/>
        <v>1.7487657043856868</v>
      </c>
      <c r="L26" s="696">
        <f>Datos!$K$96*'CUADRO 14 ISR Enaje'!K26/100</f>
        <v>699506.28175427462</v>
      </c>
      <c r="M26" s="701">
        <f t="shared" si="6"/>
        <v>1283530.3182234</v>
      </c>
      <c r="N26" s="700">
        <f t="shared" si="7"/>
        <v>3.2088257955585009</v>
      </c>
      <c r="O26" s="700">
        <f t="shared" si="8"/>
        <v>0.31164047652077309</v>
      </c>
      <c r="P26" s="700">
        <f t="shared" si="9"/>
        <v>4.6483918325978344</v>
      </c>
      <c r="Q26" s="700">
        <f t="shared" si="10"/>
        <v>0.46483918325978346</v>
      </c>
      <c r="R26" s="698">
        <f>Datos!$K$96*'CUADRO 14 ISR Enaje'!Q26/100</f>
        <v>185935.67330391341</v>
      </c>
      <c r="S26" s="699">
        <f t="shared" si="11"/>
        <v>1469465.9915273134</v>
      </c>
      <c r="T26" s="73">
        <f t="shared" si="12"/>
        <v>3.6736649788182842</v>
      </c>
      <c r="U26" s="74"/>
      <c r="V26" s="75">
        <v>1.0987404654646735</v>
      </c>
      <c r="W26" s="75">
        <f t="shared" si="0"/>
        <v>0.19699627431475464</v>
      </c>
      <c r="Y26" s="74"/>
      <c r="Z26" s="76"/>
      <c r="AA26" s="74"/>
      <c r="AB26" s="74"/>
    </row>
    <row r="27" spans="2:28" s="5" customFormat="1" ht="16.5" customHeight="1" thickBot="1" x14ac:dyDescent="0.3">
      <c r="B27" s="702" t="s">
        <v>64</v>
      </c>
      <c r="C27" s="690">
        <f>'CUADRO 1 - CENSO 2020'!C28</f>
        <v>65229</v>
      </c>
      <c r="D27" s="703">
        <f t="shared" si="1"/>
        <v>5.2797509583506006</v>
      </c>
      <c r="E27" s="704">
        <f t="shared" si="2"/>
        <v>3.1678505750103603</v>
      </c>
      <c r="F27" s="693">
        <f>Datos!$K$96*'CUADRO 14 ISR Enaje'!E27/100</f>
        <v>1267140.2300041441</v>
      </c>
      <c r="G27" s="694">
        <f>'CUADRO 2 -Predial y Agua'!D25</f>
        <v>48433262</v>
      </c>
      <c r="H27" s="695">
        <f>'CUADRO 2 -Predial y Agua'!G25</f>
        <v>56062887.089999996</v>
      </c>
      <c r="I27" s="703">
        <f t="shared" si="3"/>
        <v>1.1575286234076076</v>
      </c>
      <c r="J27" s="703">
        <f t="shared" si="4"/>
        <v>5.2074527597959053</v>
      </c>
      <c r="K27" s="705">
        <f t="shared" si="5"/>
        <v>1.5622358279387716</v>
      </c>
      <c r="L27" s="696">
        <f>Datos!$K$96*'CUADRO 14 ISR Enaje'!K27/100</f>
        <v>624894.33117550868</v>
      </c>
      <c r="M27" s="706">
        <f t="shared" si="6"/>
        <v>1892034.5611796528</v>
      </c>
      <c r="N27" s="705">
        <f t="shared" si="7"/>
        <v>4.7300864029491319</v>
      </c>
      <c r="O27" s="705">
        <f t="shared" si="8"/>
        <v>0.21141262861002208</v>
      </c>
      <c r="P27" s="705">
        <f t="shared" si="9"/>
        <v>3.1534053185589968</v>
      </c>
      <c r="Q27" s="705">
        <f t="shared" si="10"/>
        <v>0.31534053185589972</v>
      </c>
      <c r="R27" s="698">
        <f>Datos!$K$96*'CUADRO 14 ISR Enaje'!Q27/100</f>
        <v>126136.21274235989</v>
      </c>
      <c r="S27" s="699">
        <f t="shared" si="11"/>
        <v>2018170.7739220127</v>
      </c>
      <c r="T27" s="73">
        <f t="shared" si="12"/>
        <v>5.0454269348050316</v>
      </c>
      <c r="U27" s="74"/>
      <c r="V27" s="75">
        <v>1.0459205946760619</v>
      </c>
      <c r="W27" s="75">
        <f t="shared" si="0"/>
        <v>0.11160802873154574</v>
      </c>
      <c r="Y27" s="74"/>
      <c r="Z27" s="76"/>
      <c r="AA27" s="74"/>
      <c r="AB27" s="74"/>
    </row>
    <row r="28" spans="2:28" s="5" customFormat="1" ht="16.5" customHeight="1" thickBot="1" x14ac:dyDescent="0.3">
      <c r="B28" s="81" t="s">
        <v>65</v>
      </c>
      <c r="C28" s="707">
        <f>SUM(C8:C27)</f>
        <v>1235456</v>
      </c>
      <c r="D28" s="708">
        <f>SUM(D8:D27)</f>
        <v>100</v>
      </c>
      <c r="E28" s="709">
        <f t="shared" ref="E28:L28" si="13">SUM(E8:E27)</f>
        <v>59.999999999999993</v>
      </c>
      <c r="F28" s="710">
        <f t="shared" si="13"/>
        <v>23999999.999999996</v>
      </c>
      <c r="G28" s="710">
        <f t="shared" si="13"/>
        <v>933018792</v>
      </c>
      <c r="H28" s="710">
        <f t="shared" si="13"/>
        <v>1039445326.0500001</v>
      </c>
      <c r="I28" s="711">
        <f t="shared" si="13"/>
        <v>22.228307712060253</v>
      </c>
      <c r="J28" s="712">
        <f t="shared" si="13"/>
        <v>100.00000000000001</v>
      </c>
      <c r="K28" s="709">
        <f t="shared" si="13"/>
        <v>29.999999999999996</v>
      </c>
      <c r="L28" s="713">
        <f t="shared" si="13"/>
        <v>11999999.999999996</v>
      </c>
      <c r="M28" s="305">
        <f t="shared" si="6"/>
        <v>35999999.999999993</v>
      </c>
      <c r="N28" s="714">
        <f t="shared" ref="N28:S28" si="14">SUM(N8:N27)</f>
        <v>89.999999999999986</v>
      </c>
      <c r="O28" s="714">
        <f t="shared" si="14"/>
        <v>6.7042643508520099</v>
      </c>
      <c r="P28" s="714">
        <f t="shared" si="14"/>
        <v>100</v>
      </c>
      <c r="Q28" s="714">
        <f t="shared" si="14"/>
        <v>10</v>
      </c>
      <c r="R28" s="713">
        <f>SUM(R8:R27)</f>
        <v>4000000.0000000005</v>
      </c>
      <c r="S28" s="305">
        <f t="shared" si="14"/>
        <v>40000000</v>
      </c>
      <c r="T28" s="73">
        <f>SUM(T8:T27)</f>
        <v>99.999999999999986</v>
      </c>
      <c r="U28" s="74"/>
      <c r="V28" s="75">
        <f>SUM(V8:V27)</f>
        <v>24.538698253136822</v>
      </c>
      <c r="W28" s="75"/>
      <c r="Y28" s="74"/>
      <c r="Z28" s="76"/>
      <c r="AA28" s="74"/>
      <c r="AB28" s="74"/>
    </row>
    <row r="29" spans="2:28" s="5" customFormat="1" ht="16.5" customHeight="1" x14ac:dyDescent="0.25">
      <c r="B29" s="715" t="s">
        <v>339</v>
      </c>
      <c r="C29" s="716"/>
      <c r="D29" s="717"/>
      <c r="E29" s="718"/>
      <c r="F29" s="719"/>
      <c r="G29" s="720"/>
      <c r="H29" s="721"/>
      <c r="I29" s="721"/>
      <c r="J29" s="721"/>
      <c r="K29" s="719"/>
      <c r="L29" s="722"/>
      <c r="M29" s="720"/>
      <c r="N29" s="718"/>
      <c r="O29" s="723"/>
      <c r="P29" s="722"/>
      <c r="Q29" s="722"/>
      <c r="R29" s="722"/>
      <c r="S29" s="831"/>
      <c r="T29" s="718"/>
      <c r="U29" s="723"/>
      <c r="V29" s="75"/>
      <c r="W29" s="75"/>
      <c r="Y29" s="74"/>
      <c r="Z29" s="76"/>
      <c r="AA29" s="74"/>
      <c r="AB29" s="74"/>
    </row>
    <row r="30" spans="2:28" s="5" customFormat="1" ht="23.25" customHeight="1" x14ac:dyDescent="0.25">
      <c r="B30" s="724" t="s">
        <v>277</v>
      </c>
      <c r="C30" s="1182" t="s">
        <v>340</v>
      </c>
      <c r="D30" s="1183"/>
      <c r="E30" s="1183"/>
      <c r="F30" s="1183"/>
      <c r="G30" s="1183"/>
      <c r="H30" s="1183"/>
      <c r="I30" s="1183"/>
      <c r="J30" s="1183"/>
      <c r="K30" s="1183"/>
      <c r="L30" s="1183"/>
      <c r="M30" s="1183"/>
      <c r="N30" s="1183"/>
      <c r="O30" s="1183"/>
      <c r="P30" s="1183"/>
      <c r="Q30" s="1183"/>
      <c r="R30" s="1183"/>
      <c r="S30" s="1183"/>
      <c r="T30" s="1183"/>
      <c r="U30" s="1183"/>
      <c r="W30" s="75"/>
    </row>
    <row r="31" spans="2:28" ht="15" customHeight="1" x14ac:dyDescent="0.25">
      <c r="C31" s="1183" t="s">
        <v>341</v>
      </c>
      <c r="D31" s="1183"/>
      <c r="E31" s="1183"/>
      <c r="F31" s="1183"/>
      <c r="G31" s="1183"/>
      <c r="H31" s="1183"/>
      <c r="I31" s="1183"/>
      <c r="J31" s="1183"/>
      <c r="K31" s="1183"/>
      <c r="L31" s="1183"/>
      <c r="M31" s="1183"/>
      <c r="N31" s="1183"/>
      <c r="O31" s="1183"/>
      <c r="P31" s="1183"/>
      <c r="Q31" s="1183"/>
      <c r="R31" s="1183"/>
      <c r="S31" s="1183"/>
      <c r="T31" s="1183"/>
      <c r="U31" s="1183"/>
    </row>
    <row r="32" spans="2:28" ht="15" customHeight="1" x14ac:dyDescent="0.25">
      <c r="C32" s="730"/>
      <c r="D32" s="730"/>
      <c r="E32" s="730"/>
      <c r="F32" s="730"/>
      <c r="G32" s="730"/>
      <c r="H32" s="730"/>
      <c r="I32" s="730"/>
      <c r="J32" s="730"/>
      <c r="K32" s="730"/>
      <c r="L32" s="730"/>
      <c r="M32" s="730"/>
      <c r="N32" s="730"/>
      <c r="O32" s="730"/>
      <c r="P32" s="730"/>
      <c r="Q32" s="730"/>
      <c r="R32" s="730"/>
      <c r="S32" s="730"/>
      <c r="T32" s="730"/>
      <c r="U32" s="730"/>
    </row>
    <row r="33" spans="3:19" ht="15" customHeight="1" x14ac:dyDescent="0.25">
      <c r="C33" s="730"/>
      <c r="D33" s="730"/>
      <c r="E33" s="730"/>
      <c r="F33" s="730"/>
      <c r="G33" s="730"/>
      <c r="H33" s="730"/>
      <c r="I33" s="730"/>
      <c r="J33" s="730"/>
      <c r="K33" s="730"/>
      <c r="L33" s="730"/>
      <c r="M33" s="730"/>
      <c r="N33" s="730"/>
      <c r="O33" s="730"/>
      <c r="P33" s="730"/>
      <c r="Q33" s="730"/>
      <c r="R33" s="730"/>
      <c r="S33" s="730"/>
    </row>
  </sheetData>
  <mergeCells count="24">
    <mergeCell ref="C30:U30"/>
    <mergeCell ref="C31:U31"/>
    <mergeCell ref="T3:T7"/>
    <mergeCell ref="F4:F6"/>
    <mergeCell ref="G4:H5"/>
    <mergeCell ref="I4:I6"/>
    <mergeCell ref="J4:J6"/>
    <mergeCell ref="L4:L6"/>
    <mergeCell ref="M4:M6"/>
    <mergeCell ref="N4:N6"/>
    <mergeCell ref="O4:O6"/>
    <mergeCell ref="B1:S1"/>
    <mergeCell ref="B3:B7"/>
    <mergeCell ref="C3:F3"/>
    <mergeCell ref="G3:L3"/>
    <mergeCell ref="M3:R3"/>
    <mergeCell ref="P4:P7"/>
    <mergeCell ref="Q4:Q6"/>
    <mergeCell ref="R4:R6"/>
    <mergeCell ref="C4:C6"/>
    <mergeCell ref="E4:E6"/>
    <mergeCell ref="K4:K6"/>
    <mergeCell ref="D4:D6"/>
    <mergeCell ref="S3:S6"/>
  </mergeCells>
  <pageMargins left="0.65" right="0.59" top="0.74803149606299213" bottom="0.74803149606299213" header="0.31496062992125984" footer="0.31496062992125984"/>
  <pageSetup paperSize="5"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FFFF00"/>
  </sheetPr>
  <dimension ref="A1:Q36"/>
  <sheetViews>
    <sheetView workbookViewId="0">
      <selection activeCell="B10" sqref="B10"/>
    </sheetView>
  </sheetViews>
  <sheetFormatPr baseColWidth="10" defaultRowHeight="15" x14ac:dyDescent="0.25"/>
  <cols>
    <col min="1" max="1" width="16.5703125" customWidth="1"/>
    <col min="2" max="2" width="9.28515625" customWidth="1"/>
    <col min="3" max="14" width="11.7109375" bestFit="1" customWidth="1"/>
    <col min="15" max="15" width="13" bestFit="1" customWidth="1"/>
    <col min="16" max="16" width="12.7109375" bestFit="1" customWidth="1"/>
  </cols>
  <sheetData>
    <row r="1" spans="1:17" ht="15.75" x14ac:dyDescent="0.25">
      <c r="A1" s="1191" t="s">
        <v>254</v>
      </c>
      <c r="B1" s="1191"/>
      <c r="C1" s="1191"/>
      <c r="D1" s="1191"/>
      <c r="E1" s="1191"/>
      <c r="F1" s="1191"/>
      <c r="G1" s="1191"/>
      <c r="H1" s="1191"/>
      <c r="I1" s="1191"/>
      <c r="J1" s="1191"/>
      <c r="K1" s="1191"/>
      <c r="L1" s="1191"/>
      <c r="M1" s="1191"/>
      <c r="N1" s="1191"/>
      <c r="O1" s="1191"/>
      <c r="P1" s="500"/>
      <c r="Q1" s="500"/>
    </row>
    <row r="2" spans="1:17" x14ac:dyDescent="0.25">
      <c r="A2" s="1192" t="s">
        <v>255</v>
      </c>
      <c r="B2" s="1192"/>
      <c r="C2" s="1192"/>
      <c r="D2" s="1192"/>
      <c r="E2" s="1192"/>
      <c r="F2" s="1192"/>
      <c r="G2" s="1192"/>
      <c r="H2" s="1192"/>
      <c r="I2" s="1192"/>
      <c r="J2" s="1192"/>
      <c r="K2" s="1192"/>
      <c r="L2" s="1192"/>
      <c r="M2" s="1192"/>
      <c r="N2" s="1192"/>
      <c r="O2" s="1192"/>
      <c r="P2" s="500"/>
      <c r="Q2" s="500"/>
    </row>
    <row r="3" spans="1:17" x14ac:dyDescent="0.25">
      <c r="A3" s="1192" t="s">
        <v>256</v>
      </c>
      <c r="B3" s="1192"/>
      <c r="C3" s="1192"/>
      <c r="D3" s="1192"/>
      <c r="E3" s="1192"/>
      <c r="F3" s="1192"/>
      <c r="G3" s="1192"/>
      <c r="H3" s="1192"/>
      <c r="I3" s="1192"/>
      <c r="J3" s="1192"/>
      <c r="K3" s="1192"/>
      <c r="L3" s="1192"/>
      <c r="M3" s="1192"/>
      <c r="N3" s="1192"/>
      <c r="O3" s="1192"/>
      <c r="P3" s="500"/>
      <c r="Q3" s="500"/>
    </row>
    <row r="4" spans="1:17" x14ac:dyDescent="0.25">
      <c r="A4" s="1193" t="s">
        <v>285</v>
      </c>
      <c r="B4" s="1193"/>
      <c r="C4" s="1193"/>
      <c r="D4" s="1193"/>
      <c r="E4" s="1193"/>
      <c r="F4" s="1193"/>
      <c r="G4" s="1193"/>
      <c r="H4" s="1193"/>
      <c r="I4" s="1193"/>
      <c r="J4" s="1193"/>
      <c r="K4" s="1193"/>
      <c r="L4" s="1193"/>
      <c r="M4" s="1193"/>
      <c r="N4" s="1193"/>
      <c r="O4" s="1193"/>
      <c r="P4" s="500"/>
      <c r="Q4" s="500"/>
    </row>
    <row r="5" spans="1:17" ht="15.75" thickBot="1" x14ac:dyDescent="0.3">
      <c r="A5" s="500"/>
      <c r="B5" s="500"/>
      <c r="C5" s="500"/>
      <c r="D5" s="500"/>
      <c r="E5" s="500"/>
      <c r="F5" s="500"/>
      <c r="G5" s="500"/>
      <c r="H5" s="500"/>
      <c r="I5" s="500"/>
      <c r="J5" s="500"/>
      <c r="K5" s="500"/>
      <c r="L5" s="500"/>
      <c r="M5" s="500"/>
      <c r="N5" s="500"/>
      <c r="O5" s="500"/>
      <c r="P5" s="500"/>
      <c r="Q5" s="500"/>
    </row>
    <row r="6" spans="1:17" ht="24" thickBot="1" x14ac:dyDescent="0.3">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c r="P6" s="500"/>
      <c r="Q6" s="500"/>
    </row>
    <row r="7" spans="1:17" x14ac:dyDescent="0.25">
      <c r="A7" s="505" t="s">
        <v>258</v>
      </c>
      <c r="B7" s="506">
        <f>'[2]FGP simpl'!$C$16</f>
        <v>3.6636711021849497</v>
      </c>
      <c r="C7" s="507">
        <f t="shared" ref="C7:C26" si="0">$C$32*B7/100</f>
        <v>7321.4505632786977</v>
      </c>
      <c r="D7" s="507">
        <f t="shared" ref="D7:D26" si="1">$D$32*B7/100</f>
        <v>7321.4505632786977</v>
      </c>
      <c r="E7" s="507">
        <f t="shared" ref="E7:E26" si="2">$E$32*B7/100</f>
        <v>7321.4505632786977</v>
      </c>
      <c r="F7" s="507">
        <f t="shared" ref="F7:F26" si="3">$F$32*B7/100</f>
        <v>7321.4505632786977</v>
      </c>
      <c r="G7" s="507">
        <f t="shared" ref="G7:G26" si="4">$G$32*B7/100</f>
        <v>7321.4505632786977</v>
      </c>
      <c r="H7" s="507">
        <f t="shared" ref="H7:H26" si="5">$H$32*B7/100</f>
        <v>7321.4505632786977</v>
      </c>
      <c r="I7" s="507">
        <f t="shared" ref="I7:I26" si="6">$I$32*B7/100</f>
        <v>7321.4505632786977</v>
      </c>
      <c r="J7" s="507">
        <f t="shared" ref="J7:J26" si="7">$J$32*B7/100</f>
        <v>7321.4505632786977</v>
      </c>
      <c r="K7" s="507">
        <f t="shared" ref="K7:K26" si="8">$K$32*B7/100</f>
        <v>7321.4505632786977</v>
      </c>
      <c r="L7" s="507">
        <f t="shared" ref="L7:L26" si="9">$L$32*B7/100</f>
        <v>7321.4505632786977</v>
      </c>
      <c r="M7" s="507">
        <f t="shared" ref="M7:M26" si="10">$M$32*B7/100</f>
        <v>7321.4505632786977</v>
      </c>
      <c r="N7" s="507">
        <f t="shared" ref="N7:N26" si="11">$N$32*B7/100</f>
        <v>7321.4505632786977</v>
      </c>
      <c r="O7" s="508">
        <f>SUM(C7:N7)</f>
        <v>87857.406759344391</v>
      </c>
      <c r="P7" s="509"/>
      <c r="Q7" s="509"/>
    </row>
    <row r="8" spans="1:17" x14ac:dyDescent="0.25">
      <c r="A8" s="505" t="s">
        <v>141</v>
      </c>
      <c r="B8" s="506">
        <v>2.8774681766767136</v>
      </c>
      <c r="C8" s="507">
        <f t="shared" si="0"/>
        <v>5750.3090248418084</v>
      </c>
      <c r="D8" s="507">
        <f t="shared" si="1"/>
        <v>5750.3090248418084</v>
      </c>
      <c r="E8" s="507">
        <f t="shared" si="2"/>
        <v>5750.3090248418084</v>
      </c>
      <c r="F8" s="507">
        <f t="shared" si="3"/>
        <v>5750.3090248418084</v>
      </c>
      <c r="G8" s="507">
        <f t="shared" si="4"/>
        <v>5750.3090248418084</v>
      </c>
      <c r="H8" s="507">
        <f t="shared" si="5"/>
        <v>5750.3090248418084</v>
      </c>
      <c r="I8" s="507">
        <f t="shared" si="6"/>
        <v>5750.3090248418084</v>
      </c>
      <c r="J8" s="507">
        <f t="shared" si="7"/>
        <v>5750.3090248418084</v>
      </c>
      <c r="K8" s="507">
        <f t="shared" si="8"/>
        <v>5750.3090248418084</v>
      </c>
      <c r="L8" s="507">
        <f t="shared" si="9"/>
        <v>5750.3090248418084</v>
      </c>
      <c r="M8" s="507">
        <f t="shared" si="10"/>
        <v>5750.3090248418084</v>
      </c>
      <c r="N8" s="507">
        <f t="shared" si="11"/>
        <v>5750.3090248418084</v>
      </c>
      <c r="O8" s="508">
        <f t="shared" ref="O8:O26" si="12">SUM(C8:N8)</f>
        <v>69003.708298101701</v>
      </c>
      <c r="P8" s="509"/>
      <c r="Q8" s="500"/>
    </row>
    <row r="9" spans="1:17" x14ac:dyDescent="0.25">
      <c r="A9" s="505" t="s">
        <v>142</v>
      </c>
      <c r="B9" s="506">
        <v>4.7152682285520395</v>
      </c>
      <c r="C9" s="507">
        <f t="shared" si="0"/>
        <v>9422.9537163840378</v>
      </c>
      <c r="D9" s="507">
        <f t="shared" si="1"/>
        <v>9422.9537163840378</v>
      </c>
      <c r="E9" s="507">
        <f t="shared" si="2"/>
        <v>9422.9537163840378</v>
      </c>
      <c r="F9" s="507">
        <f t="shared" si="3"/>
        <v>9422.9537163840378</v>
      </c>
      <c r="G9" s="507">
        <f t="shared" si="4"/>
        <v>9422.9537163840378</v>
      </c>
      <c r="H9" s="507">
        <f t="shared" si="5"/>
        <v>9422.9537163840378</v>
      </c>
      <c r="I9" s="507">
        <f t="shared" si="6"/>
        <v>9422.9537163840378</v>
      </c>
      <c r="J9" s="507">
        <f t="shared" si="7"/>
        <v>9422.9537163840378</v>
      </c>
      <c r="K9" s="507">
        <f t="shared" si="8"/>
        <v>9422.9537163840378</v>
      </c>
      <c r="L9" s="507">
        <f t="shared" si="9"/>
        <v>9422.9537163840378</v>
      </c>
      <c r="M9" s="507">
        <f t="shared" si="10"/>
        <v>9422.9537163840378</v>
      </c>
      <c r="N9" s="507">
        <f t="shared" si="11"/>
        <v>9422.9537163840378</v>
      </c>
      <c r="O9" s="508">
        <f t="shared" si="12"/>
        <v>113075.44459660847</v>
      </c>
      <c r="P9" s="509"/>
      <c r="Q9" s="500"/>
    </row>
    <row r="10" spans="1:17" x14ac:dyDescent="0.25">
      <c r="A10" s="505" t="s">
        <v>259</v>
      </c>
      <c r="B10" s="506">
        <v>9.1392838894846484</v>
      </c>
      <c r="C10" s="507">
        <f t="shared" si="0"/>
        <v>18263.870668064515</v>
      </c>
      <c r="D10" s="507">
        <f t="shared" si="1"/>
        <v>18263.870668064515</v>
      </c>
      <c r="E10" s="507">
        <f t="shared" si="2"/>
        <v>18263.870668064515</v>
      </c>
      <c r="F10" s="507">
        <f t="shared" si="3"/>
        <v>18263.870668064515</v>
      </c>
      <c r="G10" s="507">
        <f t="shared" si="4"/>
        <v>18263.870668064515</v>
      </c>
      <c r="H10" s="507">
        <f t="shared" si="5"/>
        <v>18263.870668064515</v>
      </c>
      <c r="I10" s="507">
        <f t="shared" si="6"/>
        <v>18263.870668064515</v>
      </c>
      <c r="J10" s="507">
        <f t="shared" si="7"/>
        <v>18263.870668064515</v>
      </c>
      <c r="K10" s="507">
        <f t="shared" si="8"/>
        <v>18263.870668064515</v>
      </c>
      <c r="L10" s="507">
        <f t="shared" si="9"/>
        <v>18263.870668064515</v>
      </c>
      <c r="M10" s="507">
        <f t="shared" si="10"/>
        <v>18263.870668064515</v>
      </c>
      <c r="N10" s="507">
        <f t="shared" si="11"/>
        <v>18263.870668064515</v>
      </c>
      <c r="O10" s="508">
        <f t="shared" si="12"/>
        <v>219166.44801677417</v>
      </c>
      <c r="P10" s="509"/>
      <c r="Q10" s="500"/>
    </row>
    <row r="11" spans="1:17" x14ac:dyDescent="0.25">
      <c r="A11" s="505" t="s">
        <v>144</v>
      </c>
      <c r="B11" s="506">
        <v>5.3963653133391265</v>
      </c>
      <c r="C11" s="507">
        <f t="shared" si="0"/>
        <v>10784.052596708738</v>
      </c>
      <c r="D11" s="507">
        <f t="shared" si="1"/>
        <v>10784.052596708738</v>
      </c>
      <c r="E11" s="507">
        <f t="shared" si="2"/>
        <v>10784.052596708738</v>
      </c>
      <c r="F11" s="507">
        <f t="shared" si="3"/>
        <v>10784.052596708738</v>
      </c>
      <c r="G11" s="507">
        <f t="shared" si="4"/>
        <v>10784.052596708738</v>
      </c>
      <c r="H11" s="507">
        <f t="shared" si="5"/>
        <v>10784.052596708738</v>
      </c>
      <c r="I11" s="507">
        <f t="shared" si="6"/>
        <v>10784.052596708738</v>
      </c>
      <c r="J11" s="507">
        <f t="shared" si="7"/>
        <v>10784.052596708738</v>
      </c>
      <c r="K11" s="507">
        <f t="shared" si="8"/>
        <v>10784.052596708738</v>
      </c>
      <c r="L11" s="507">
        <f t="shared" si="9"/>
        <v>10784.052596708738</v>
      </c>
      <c r="M11" s="507">
        <f t="shared" si="10"/>
        <v>10784.052596708738</v>
      </c>
      <c r="N11" s="507">
        <f t="shared" si="11"/>
        <v>10784.052596708738</v>
      </c>
      <c r="O11" s="508">
        <f t="shared" si="12"/>
        <v>129408.63116050482</v>
      </c>
      <c r="P11" s="509"/>
      <c r="Q11" s="500"/>
    </row>
    <row r="12" spans="1:17" x14ac:dyDescent="0.25">
      <c r="A12" s="505" t="s">
        <v>260</v>
      </c>
      <c r="B12" s="506">
        <v>3.6295907588400458</v>
      </c>
      <c r="C12" s="507">
        <f t="shared" si="0"/>
        <v>7253.3446820410309</v>
      </c>
      <c r="D12" s="507">
        <f t="shared" si="1"/>
        <v>7253.3446820410309</v>
      </c>
      <c r="E12" s="507">
        <f t="shared" si="2"/>
        <v>7253.3446820410309</v>
      </c>
      <c r="F12" s="507">
        <f t="shared" si="3"/>
        <v>7253.3446820410309</v>
      </c>
      <c r="G12" s="507">
        <f t="shared" si="4"/>
        <v>7253.3446820410309</v>
      </c>
      <c r="H12" s="507">
        <f t="shared" si="5"/>
        <v>7253.3446820410309</v>
      </c>
      <c r="I12" s="507">
        <f t="shared" si="6"/>
        <v>7253.3446820410309</v>
      </c>
      <c r="J12" s="507">
        <f t="shared" si="7"/>
        <v>7253.3446820410309</v>
      </c>
      <c r="K12" s="507">
        <f t="shared" si="8"/>
        <v>7253.3446820410309</v>
      </c>
      <c r="L12" s="507">
        <f t="shared" si="9"/>
        <v>7253.3446820410309</v>
      </c>
      <c r="M12" s="507">
        <f t="shared" si="10"/>
        <v>7253.3446820410309</v>
      </c>
      <c r="N12" s="507">
        <f t="shared" si="11"/>
        <v>7253.3446820410309</v>
      </c>
      <c r="O12" s="508">
        <f t="shared" si="12"/>
        <v>87040.136184492367</v>
      </c>
      <c r="P12" s="509"/>
      <c r="Q12" s="500"/>
    </row>
    <row r="13" spans="1:17" x14ac:dyDescent="0.25">
      <c r="A13" s="505" t="s">
        <v>146</v>
      </c>
      <c r="B13" s="506">
        <v>4.0700473326514279</v>
      </c>
      <c r="C13" s="507">
        <f t="shared" si="0"/>
        <v>8133.5495204360341</v>
      </c>
      <c r="D13" s="507">
        <f t="shared" si="1"/>
        <v>8133.5495204360341</v>
      </c>
      <c r="E13" s="507">
        <f t="shared" si="2"/>
        <v>8133.5495204360341</v>
      </c>
      <c r="F13" s="507">
        <f t="shared" si="3"/>
        <v>8133.5495204360341</v>
      </c>
      <c r="G13" s="507">
        <f t="shared" si="4"/>
        <v>8133.5495204360341</v>
      </c>
      <c r="H13" s="507">
        <f t="shared" si="5"/>
        <v>8133.5495204360341</v>
      </c>
      <c r="I13" s="507">
        <f t="shared" si="6"/>
        <v>8133.5495204360341</v>
      </c>
      <c r="J13" s="507">
        <f t="shared" si="7"/>
        <v>8133.5495204360341</v>
      </c>
      <c r="K13" s="507">
        <f t="shared" si="8"/>
        <v>8133.5495204360341</v>
      </c>
      <c r="L13" s="507">
        <f t="shared" si="9"/>
        <v>8133.5495204360341</v>
      </c>
      <c r="M13" s="507">
        <f t="shared" si="10"/>
        <v>8133.5495204360341</v>
      </c>
      <c r="N13" s="507">
        <f t="shared" si="11"/>
        <v>8133.5495204360341</v>
      </c>
      <c r="O13" s="508">
        <f t="shared" si="12"/>
        <v>97602.594245232409</v>
      </c>
      <c r="P13" s="509"/>
      <c r="Q13" s="500"/>
    </row>
    <row r="14" spans="1:17" x14ac:dyDescent="0.25">
      <c r="A14" s="505" t="s">
        <v>147</v>
      </c>
      <c r="B14" s="506">
        <v>3.2056447774490451</v>
      </c>
      <c r="C14" s="507">
        <f t="shared" si="0"/>
        <v>6406.1344773903538</v>
      </c>
      <c r="D14" s="507">
        <f t="shared" si="1"/>
        <v>6406.1344773903538</v>
      </c>
      <c r="E14" s="507">
        <f t="shared" si="2"/>
        <v>6406.1344773903538</v>
      </c>
      <c r="F14" s="507">
        <f t="shared" si="3"/>
        <v>6406.1344773903538</v>
      </c>
      <c r="G14" s="507">
        <f t="shared" si="4"/>
        <v>6406.1344773903538</v>
      </c>
      <c r="H14" s="507">
        <f t="shared" si="5"/>
        <v>6406.1344773903538</v>
      </c>
      <c r="I14" s="507">
        <f t="shared" si="6"/>
        <v>6406.1344773903538</v>
      </c>
      <c r="J14" s="507">
        <f t="shared" si="7"/>
        <v>6406.1344773903538</v>
      </c>
      <c r="K14" s="507">
        <f t="shared" si="8"/>
        <v>6406.1344773903538</v>
      </c>
      <c r="L14" s="507">
        <f t="shared" si="9"/>
        <v>6406.1344773903538</v>
      </c>
      <c r="M14" s="507">
        <f t="shared" si="10"/>
        <v>6406.1344773903538</v>
      </c>
      <c r="N14" s="507">
        <f t="shared" si="11"/>
        <v>6406.1344773903538</v>
      </c>
      <c r="O14" s="508">
        <f t="shared" si="12"/>
        <v>76873.613728684242</v>
      </c>
      <c r="P14" s="509"/>
      <c r="Q14" s="500"/>
    </row>
    <row r="15" spans="1:17" x14ac:dyDescent="0.25">
      <c r="A15" s="505" t="s">
        <v>148</v>
      </c>
      <c r="B15" s="506">
        <v>3.1677886526185874</v>
      </c>
      <c r="C15" s="507">
        <f t="shared" si="0"/>
        <v>6330.4831051101819</v>
      </c>
      <c r="D15" s="507">
        <f t="shared" si="1"/>
        <v>6330.4831051101819</v>
      </c>
      <c r="E15" s="507">
        <f t="shared" si="2"/>
        <v>6330.4831051101819</v>
      </c>
      <c r="F15" s="507">
        <f t="shared" si="3"/>
        <v>6330.4831051101819</v>
      </c>
      <c r="G15" s="507">
        <f t="shared" si="4"/>
        <v>6330.4831051101819</v>
      </c>
      <c r="H15" s="507">
        <f t="shared" si="5"/>
        <v>6330.4831051101819</v>
      </c>
      <c r="I15" s="507">
        <f t="shared" si="6"/>
        <v>6330.4831051101819</v>
      </c>
      <c r="J15" s="507">
        <f t="shared" si="7"/>
        <v>6330.4831051101819</v>
      </c>
      <c r="K15" s="507">
        <f t="shared" si="8"/>
        <v>6330.4831051101819</v>
      </c>
      <c r="L15" s="507">
        <f t="shared" si="9"/>
        <v>6330.4831051101819</v>
      </c>
      <c r="M15" s="507">
        <f t="shared" si="10"/>
        <v>6330.4831051101819</v>
      </c>
      <c r="N15" s="507">
        <f t="shared" si="11"/>
        <v>6330.4831051101819</v>
      </c>
      <c r="O15" s="508">
        <f t="shared" si="12"/>
        <v>75965.797261322165</v>
      </c>
      <c r="P15" s="509"/>
      <c r="Q15" s="500"/>
    </row>
    <row r="16" spans="1:17" x14ac:dyDescent="0.25">
      <c r="A16" s="505" t="s">
        <v>149</v>
      </c>
      <c r="B16" s="506">
        <v>2.8145431996763457</v>
      </c>
      <c r="C16" s="507">
        <f t="shared" si="0"/>
        <v>5624.5602620697118</v>
      </c>
      <c r="D16" s="507">
        <f t="shared" si="1"/>
        <v>5624.5602620697118</v>
      </c>
      <c r="E16" s="507">
        <f t="shared" si="2"/>
        <v>5624.5602620697118</v>
      </c>
      <c r="F16" s="507">
        <f t="shared" si="3"/>
        <v>5624.5602620697118</v>
      </c>
      <c r="G16" s="507">
        <f t="shared" si="4"/>
        <v>5624.5602620697118</v>
      </c>
      <c r="H16" s="507">
        <f t="shared" si="5"/>
        <v>5624.5602620697118</v>
      </c>
      <c r="I16" s="507">
        <f t="shared" si="6"/>
        <v>5624.5602620697118</v>
      </c>
      <c r="J16" s="507">
        <f t="shared" si="7"/>
        <v>5624.5602620697118</v>
      </c>
      <c r="K16" s="507">
        <f t="shared" si="8"/>
        <v>5624.5602620697118</v>
      </c>
      <c r="L16" s="507">
        <f t="shared" si="9"/>
        <v>5624.5602620697118</v>
      </c>
      <c r="M16" s="507">
        <f t="shared" si="10"/>
        <v>5624.5602620697118</v>
      </c>
      <c r="N16" s="507">
        <f t="shared" si="11"/>
        <v>5624.5602620697118</v>
      </c>
      <c r="O16" s="508">
        <f t="shared" si="12"/>
        <v>67494.723144836535</v>
      </c>
      <c r="P16" s="509"/>
      <c r="Q16" s="500"/>
    </row>
    <row r="17" spans="1:16" x14ac:dyDescent="0.25">
      <c r="A17" s="505" t="s">
        <v>150</v>
      </c>
      <c r="B17" s="506">
        <v>3.814501471077032</v>
      </c>
      <c r="C17" s="507">
        <f t="shared" si="0"/>
        <v>7622.868746975887</v>
      </c>
      <c r="D17" s="507">
        <f t="shared" si="1"/>
        <v>7622.868746975887</v>
      </c>
      <c r="E17" s="507">
        <f t="shared" si="2"/>
        <v>7622.868746975887</v>
      </c>
      <c r="F17" s="507">
        <f t="shared" si="3"/>
        <v>7622.868746975887</v>
      </c>
      <c r="G17" s="507">
        <f t="shared" si="4"/>
        <v>7622.868746975887</v>
      </c>
      <c r="H17" s="507">
        <f t="shared" si="5"/>
        <v>7622.868746975887</v>
      </c>
      <c r="I17" s="507">
        <f t="shared" si="6"/>
        <v>7622.868746975887</v>
      </c>
      <c r="J17" s="507">
        <f t="shared" si="7"/>
        <v>7622.868746975887</v>
      </c>
      <c r="K17" s="507">
        <f t="shared" si="8"/>
        <v>7622.868746975887</v>
      </c>
      <c r="L17" s="507">
        <f t="shared" si="9"/>
        <v>7622.868746975887</v>
      </c>
      <c r="M17" s="507">
        <f t="shared" si="10"/>
        <v>7622.868746975887</v>
      </c>
      <c r="N17" s="507">
        <f t="shared" si="11"/>
        <v>7622.868746975887</v>
      </c>
      <c r="O17" s="508">
        <f t="shared" si="12"/>
        <v>91474.42496371064</v>
      </c>
      <c r="P17" s="509"/>
    </row>
    <row r="18" spans="1:16" x14ac:dyDescent="0.25">
      <c r="A18" s="505" t="s">
        <v>151</v>
      </c>
      <c r="B18" s="506">
        <v>3.0792318274418586</v>
      </c>
      <c r="C18" s="507">
        <f t="shared" si="0"/>
        <v>6153.5118652012115</v>
      </c>
      <c r="D18" s="507">
        <f t="shared" si="1"/>
        <v>6153.5118652012115</v>
      </c>
      <c r="E18" s="507">
        <f t="shared" si="2"/>
        <v>6153.5118652012115</v>
      </c>
      <c r="F18" s="507">
        <f t="shared" si="3"/>
        <v>6153.5118652012115</v>
      </c>
      <c r="G18" s="507">
        <f t="shared" si="4"/>
        <v>6153.5118652012115</v>
      </c>
      <c r="H18" s="507">
        <f t="shared" si="5"/>
        <v>6153.5118652012115</v>
      </c>
      <c r="I18" s="507">
        <f t="shared" si="6"/>
        <v>6153.5118652012115</v>
      </c>
      <c r="J18" s="507">
        <f t="shared" si="7"/>
        <v>6153.5118652012115</v>
      </c>
      <c r="K18" s="507">
        <f t="shared" si="8"/>
        <v>6153.5118652012115</v>
      </c>
      <c r="L18" s="507">
        <f t="shared" si="9"/>
        <v>6153.5118652012115</v>
      </c>
      <c r="M18" s="507">
        <f t="shared" si="10"/>
        <v>6153.5118652012115</v>
      </c>
      <c r="N18" s="507">
        <f t="shared" si="11"/>
        <v>6153.5118652012115</v>
      </c>
      <c r="O18" s="508">
        <f t="shared" si="12"/>
        <v>73842.142382414531</v>
      </c>
      <c r="P18" s="509"/>
    </row>
    <row r="19" spans="1:16" x14ac:dyDescent="0.25">
      <c r="A19" s="505" t="s">
        <v>152</v>
      </c>
      <c r="B19" s="506">
        <v>3.9687689066587866</v>
      </c>
      <c r="C19" s="507">
        <f t="shared" si="0"/>
        <v>7931.1555368195513</v>
      </c>
      <c r="D19" s="507">
        <f t="shared" si="1"/>
        <v>7931.1555368195513</v>
      </c>
      <c r="E19" s="507">
        <f t="shared" si="2"/>
        <v>7931.1555368195513</v>
      </c>
      <c r="F19" s="507">
        <f t="shared" si="3"/>
        <v>7931.1555368195513</v>
      </c>
      <c r="G19" s="507">
        <f t="shared" si="4"/>
        <v>7931.1555368195513</v>
      </c>
      <c r="H19" s="507">
        <f t="shared" si="5"/>
        <v>7931.1555368195513</v>
      </c>
      <c r="I19" s="507">
        <f t="shared" si="6"/>
        <v>7931.1555368195513</v>
      </c>
      <c r="J19" s="507">
        <f t="shared" si="7"/>
        <v>7931.1555368195513</v>
      </c>
      <c r="K19" s="507">
        <f t="shared" si="8"/>
        <v>7931.1555368195513</v>
      </c>
      <c r="L19" s="507">
        <f t="shared" si="9"/>
        <v>7931.1555368195513</v>
      </c>
      <c r="M19" s="507">
        <f t="shared" si="10"/>
        <v>7931.1555368195513</v>
      </c>
      <c r="N19" s="507">
        <f t="shared" si="11"/>
        <v>7931.1555368195513</v>
      </c>
      <c r="O19" s="508">
        <f t="shared" si="12"/>
        <v>95173.866441834645</v>
      </c>
      <c r="P19" s="509"/>
    </row>
    <row r="20" spans="1:16" x14ac:dyDescent="0.25">
      <c r="A20" s="505" t="s">
        <v>261</v>
      </c>
      <c r="B20" s="506">
        <v>2.5568285677800717</v>
      </c>
      <c r="C20" s="507">
        <f t="shared" si="0"/>
        <v>5109.5454356195814</v>
      </c>
      <c r="D20" s="507">
        <f t="shared" si="1"/>
        <v>5109.5454356195814</v>
      </c>
      <c r="E20" s="507">
        <f t="shared" si="2"/>
        <v>5109.5454356195814</v>
      </c>
      <c r="F20" s="507">
        <f t="shared" si="3"/>
        <v>5109.5454356195814</v>
      </c>
      <c r="G20" s="507">
        <f t="shared" si="4"/>
        <v>5109.5454356195814</v>
      </c>
      <c r="H20" s="507">
        <f t="shared" si="5"/>
        <v>5109.5454356195814</v>
      </c>
      <c r="I20" s="507">
        <f t="shared" si="6"/>
        <v>5109.5454356195814</v>
      </c>
      <c r="J20" s="507">
        <f t="shared" si="7"/>
        <v>5109.5454356195814</v>
      </c>
      <c r="K20" s="507">
        <f t="shared" si="8"/>
        <v>5109.5454356195814</v>
      </c>
      <c r="L20" s="507">
        <f t="shared" si="9"/>
        <v>5109.5454356195814</v>
      </c>
      <c r="M20" s="507">
        <f t="shared" si="10"/>
        <v>5109.5454356195814</v>
      </c>
      <c r="N20" s="507">
        <f t="shared" si="11"/>
        <v>5109.5454356195814</v>
      </c>
      <c r="O20" s="508">
        <f t="shared" si="12"/>
        <v>61314.545227434988</v>
      </c>
      <c r="P20" s="509"/>
    </row>
    <row r="21" spans="1:16" x14ac:dyDescent="0.25">
      <c r="A21" s="505" t="s">
        <v>262</v>
      </c>
      <c r="B21" s="506">
        <v>3.0448340829893383</v>
      </c>
      <c r="C21" s="507">
        <f t="shared" si="0"/>
        <v>6084.7716921689689</v>
      </c>
      <c r="D21" s="507">
        <f t="shared" si="1"/>
        <v>6084.7716921689689</v>
      </c>
      <c r="E21" s="507">
        <f t="shared" si="2"/>
        <v>6084.7716921689689</v>
      </c>
      <c r="F21" s="507">
        <f t="shared" si="3"/>
        <v>6084.7716921689689</v>
      </c>
      <c r="G21" s="507">
        <f t="shared" si="4"/>
        <v>6084.7716921689689</v>
      </c>
      <c r="H21" s="507">
        <f t="shared" si="5"/>
        <v>6084.7716921689689</v>
      </c>
      <c r="I21" s="507">
        <f t="shared" si="6"/>
        <v>6084.7716921689689</v>
      </c>
      <c r="J21" s="507">
        <f t="shared" si="7"/>
        <v>6084.7716921689689</v>
      </c>
      <c r="K21" s="507">
        <f t="shared" si="8"/>
        <v>6084.7716921689689</v>
      </c>
      <c r="L21" s="507">
        <f t="shared" si="9"/>
        <v>6084.7716921689689</v>
      </c>
      <c r="M21" s="507">
        <f t="shared" si="10"/>
        <v>6084.7716921689689</v>
      </c>
      <c r="N21" s="507">
        <f t="shared" si="11"/>
        <v>6084.7716921689689</v>
      </c>
      <c r="O21" s="508">
        <f t="shared" si="12"/>
        <v>73017.260306027645</v>
      </c>
      <c r="P21" s="509"/>
    </row>
    <row r="22" spans="1:16" x14ac:dyDescent="0.25">
      <c r="A22" s="505" t="s">
        <v>263</v>
      </c>
      <c r="B22" s="506">
        <v>6.4580166897572191</v>
      </c>
      <c r="C22" s="507">
        <f t="shared" si="0"/>
        <v>12905.648081425221</v>
      </c>
      <c r="D22" s="507">
        <f t="shared" si="1"/>
        <v>12905.648081425221</v>
      </c>
      <c r="E22" s="507">
        <f t="shared" si="2"/>
        <v>12905.648081425221</v>
      </c>
      <c r="F22" s="507">
        <f t="shared" si="3"/>
        <v>12905.648081425221</v>
      </c>
      <c r="G22" s="507">
        <f t="shared" si="4"/>
        <v>12905.648081425221</v>
      </c>
      <c r="H22" s="507">
        <f t="shared" si="5"/>
        <v>12905.648081425221</v>
      </c>
      <c r="I22" s="507">
        <f t="shared" si="6"/>
        <v>12905.648081425221</v>
      </c>
      <c r="J22" s="507">
        <f t="shared" si="7"/>
        <v>12905.648081425221</v>
      </c>
      <c r="K22" s="507">
        <f t="shared" si="8"/>
        <v>12905.648081425221</v>
      </c>
      <c r="L22" s="507">
        <f t="shared" si="9"/>
        <v>12905.648081425221</v>
      </c>
      <c r="M22" s="507">
        <f t="shared" si="10"/>
        <v>12905.648081425221</v>
      </c>
      <c r="N22" s="507">
        <f t="shared" si="11"/>
        <v>12905.648081425221</v>
      </c>
      <c r="O22" s="508">
        <f t="shared" si="12"/>
        <v>154867.77697710268</v>
      </c>
      <c r="P22" s="509"/>
    </row>
    <row r="23" spans="1:16" x14ac:dyDescent="0.25">
      <c r="A23" s="505" t="s">
        <v>156</v>
      </c>
      <c r="B23" s="506">
        <v>3.6739352083662298</v>
      </c>
      <c r="C23" s="507">
        <f t="shared" si="0"/>
        <v>7341.962269675505</v>
      </c>
      <c r="D23" s="507">
        <f t="shared" si="1"/>
        <v>7341.962269675505</v>
      </c>
      <c r="E23" s="507">
        <f t="shared" si="2"/>
        <v>7341.962269675505</v>
      </c>
      <c r="F23" s="507">
        <f t="shared" si="3"/>
        <v>7341.962269675505</v>
      </c>
      <c r="G23" s="507">
        <f t="shared" si="4"/>
        <v>7341.962269675505</v>
      </c>
      <c r="H23" s="507">
        <f t="shared" si="5"/>
        <v>7341.962269675505</v>
      </c>
      <c r="I23" s="507">
        <f t="shared" si="6"/>
        <v>7341.962269675505</v>
      </c>
      <c r="J23" s="507">
        <f t="shared" si="7"/>
        <v>7341.962269675505</v>
      </c>
      <c r="K23" s="507">
        <f t="shared" si="8"/>
        <v>7341.962269675505</v>
      </c>
      <c r="L23" s="507">
        <f t="shared" si="9"/>
        <v>7341.962269675505</v>
      </c>
      <c r="M23" s="507">
        <f t="shared" si="10"/>
        <v>7341.962269675505</v>
      </c>
      <c r="N23" s="507">
        <f t="shared" si="11"/>
        <v>7341.962269675505</v>
      </c>
      <c r="O23" s="508">
        <f t="shared" si="12"/>
        <v>88103.547236106067</v>
      </c>
      <c r="P23" s="509"/>
    </row>
    <row r="24" spans="1:16" x14ac:dyDescent="0.25">
      <c r="A24" s="505" t="s">
        <v>157</v>
      </c>
      <c r="B24" s="506">
        <v>21.979340072457017</v>
      </c>
      <c r="C24" s="507">
        <f t="shared" si="0"/>
        <v>43923.33461866001</v>
      </c>
      <c r="D24" s="507">
        <f t="shared" si="1"/>
        <v>43923.33461866001</v>
      </c>
      <c r="E24" s="507">
        <f t="shared" si="2"/>
        <v>43923.33461866001</v>
      </c>
      <c r="F24" s="507">
        <f t="shared" si="3"/>
        <v>43923.33461866001</v>
      </c>
      <c r="G24" s="507">
        <f t="shared" si="4"/>
        <v>43923.33461866001</v>
      </c>
      <c r="H24" s="507">
        <f t="shared" si="5"/>
        <v>43923.33461866001</v>
      </c>
      <c r="I24" s="507">
        <f t="shared" si="6"/>
        <v>43923.33461866001</v>
      </c>
      <c r="J24" s="507">
        <f t="shared" si="7"/>
        <v>43923.33461866001</v>
      </c>
      <c r="K24" s="507">
        <f t="shared" si="8"/>
        <v>43923.33461866001</v>
      </c>
      <c r="L24" s="507">
        <f t="shared" si="9"/>
        <v>43923.33461866001</v>
      </c>
      <c r="M24" s="507">
        <f t="shared" si="10"/>
        <v>43923.33461866001</v>
      </c>
      <c r="N24" s="507">
        <f t="shared" si="11"/>
        <v>43923.33461866001</v>
      </c>
      <c r="O24" s="508">
        <f t="shared" si="12"/>
        <v>527080.01542392024</v>
      </c>
      <c r="P24" s="509"/>
    </row>
    <row r="25" spans="1:16" x14ac:dyDescent="0.25">
      <c r="A25" s="505" t="s">
        <v>158</v>
      </c>
      <c r="B25" s="506">
        <v>3.7144952969630278</v>
      </c>
      <c r="C25" s="507">
        <f t="shared" si="0"/>
        <v>7423.0172211766258</v>
      </c>
      <c r="D25" s="507">
        <f t="shared" si="1"/>
        <v>7423.0172211766258</v>
      </c>
      <c r="E25" s="507">
        <f t="shared" si="2"/>
        <v>7423.0172211766258</v>
      </c>
      <c r="F25" s="507">
        <f t="shared" si="3"/>
        <v>7423.0172211766258</v>
      </c>
      <c r="G25" s="507">
        <f t="shared" si="4"/>
        <v>7423.0172211766258</v>
      </c>
      <c r="H25" s="507">
        <f t="shared" si="5"/>
        <v>7423.0172211766258</v>
      </c>
      <c r="I25" s="507">
        <f t="shared" si="6"/>
        <v>7423.0172211766258</v>
      </c>
      <c r="J25" s="507">
        <f t="shared" si="7"/>
        <v>7423.0172211766258</v>
      </c>
      <c r="K25" s="507">
        <f t="shared" si="8"/>
        <v>7423.0172211766258</v>
      </c>
      <c r="L25" s="507">
        <f t="shared" si="9"/>
        <v>7423.0172211766258</v>
      </c>
      <c r="M25" s="507">
        <f t="shared" si="10"/>
        <v>7423.0172211766258</v>
      </c>
      <c r="N25" s="507">
        <f t="shared" si="11"/>
        <v>7423.0172211766258</v>
      </c>
      <c r="O25" s="508">
        <f t="shared" si="12"/>
        <v>89076.20665411948</v>
      </c>
      <c r="P25" s="509"/>
    </row>
    <row r="26" spans="1:16" ht="15.75" thickBot="1" x14ac:dyDescent="0.3">
      <c r="A26" s="505" t="s">
        <v>159</v>
      </c>
      <c r="B26" s="506">
        <v>5.0303764450364916</v>
      </c>
      <c r="C26" s="507">
        <f t="shared" si="0"/>
        <v>10052.663415952307</v>
      </c>
      <c r="D26" s="507">
        <f t="shared" si="1"/>
        <v>10052.663415952307</v>
      </c>
      <c r="E26" s="507">
        <f t="shared" si="2"/>
        <v>10052.663415952307</v>
      </c>
      <c r="F26" s="507">
        <f t="shared" si="3"/>
        <v>10052.663415952307</v>
      </c>
      <c r="G26" s="507">
        <f t="shared" si="4"/>
        <v>10052.663415952307</v>
      </c>
      <c r="H26" s="507">
        <f t="shared" si="5"/>
        <v>10052.663415952307</v>
      </c>
      <c r="I26" s="507">
        <f t="shared" si="6"/>
        <v>10052.663415952307</v>
      </c>
      <c r="J26" s="507">
        <f t="shared" si="7"/>
        <v>10052.663415952307</v>
      </c>
      <c r="K26" s="507">
        <f t="shared" si="8"/>
        <v>10052.663415952307</v>
      </c>
      <c r="L26" s="507">
        <f t="shared" si="9"/>
        <v>10052.663415952307</v>
      </c>
      <c r="M26" s="507">
        <f t="shared" si="10"/>
        <v>10052.663415952307</v>
      </c>
      <c r="N26" s="507">
        <f t="shared" si="11"/>
        <v>10052.663415952307</v>
      </c>
      <c r="O26" s="508">
        <f t="shared" si="12"/>
        <v>120631.9609914277</v>
      </c>
      <c r="P26" s="509"/>
    </row>
    <row r="27" spans="1:16" ht="15.75" thickBot="1" x14ac:dyDescent="0.3">
      <c r="A27" s="510" t="s">
        <v>264</v>
      </c>
      <c r="B27" s="511">
        <f>SUM(B7:B26)</f>
        <v>100</v>
      </c>
      <c r="C27" s="512">
        <f>SUM(C7:C26)</f>
        <v>199839.18749999997</v>
      </c>
      <c r="D27" s="512">
        <f t="shared" ref="D27:N27" si="13">SUM(D7:D26)</f>
        <v>199839.18749999997</v>
      </c>
      <c r="E27" s="512">
        <f t="shared" si="13"/>
        <v>199839.18749999997</v>
      </c>
      <c r="F27" s="512">
        <f t="shared" si="13"/>
        <v>199839.18749999997</v>
      </c>
      <c r="G27" s="512">
        <f t="shared" si="13"/>
        <v>199839.18749999997</v>
      </c>
      <c r="H27" s="512">
        <f t="shared" si="13"/>
        <v>199839.18749999997</v>
      </c>
      <c r="I27" s="512">
        <f t="shared" si="13"/>
        <v>199839.18749999997</v>
      </c>
      <c r="J27" s="512">
        <f t="shared" si="13"/>
        <v>199839.18749999997</v>
      </c>
      <c r="K27" s="512">
        <f t="shared" si="13"/>
        <v>199839.18749999997</v>
      </c>
      <c r="L27" s="512">
        <f t="shared" si="13"/>
        <v>199839.18749999997</v>
      </c>
      <c r="M27" s="512">
        <f t="shared" si="13"/>
        <v>199839.18749999997</v>
      </c>
      <c r="N27" s="512">
        <f t="shared" si="13"/>
        <v>199839.18749999997</v>
      </c>
      <c r="O27" s="512">
        <f>SUM(C27:N27)</f>
        <v>2398070.2499999995</v>
      </c>
      <c r="P27" s="500"/>
    </row>
    <row r="28" spans="1:16" x14ac:dyDescent="0.25">
      <c r="A28" s="513"/>
      <c r="B28" s="513"/>
      <c r="C28" s="513"/>
      <c r="D28" s="513"/>
      <c r="E28" s="513"/>
      <c r="F28" s="513"/>
      <c r="G28" s="513"/>
      <c r="H28" s="513"/>
      <c r="I28" s="513"/>
      <c r="J28" s="513"/>
      <c r="K28" s="513"/>
      <c r="L28" s="513"/>
      <c r="M28" s="513"/>
      <c r="N28" s="513"/>
      <c r="O28" s="513"/>
      <c r="P28" s="500"/>
    </row>
    <row r="29" spans="1:16" x14ac:dyDescent="0.25">
      <c r="A29" s="514" t="s">
        <v>265</v>
      </c>
      <c r="B29" s="500"/>
      <c r="C29" s="500"/>
      <c r="D29" s="500"/>
      <c r="E29" s="500"/>
      <c r="F29" s="500"/>
      <c r="G29" s="500"/>
      <c r="H29" s="500"/>
      <c r="I29" s="500"/>
      <c r="J29" s="500"/>
      <c r="K29" s="500"/>
      <c r="L29" s="500"/>
      <c r="M29" s="500"/>
      <c r="N29" s="500"/>
      <c r="O29" s="509"/>
      <c r="P29" s="500"/>
    </row>
    <row r="30" spans="1:16" hidden="1" x14ac:dyDescent="0.25">
      <c r="A30" s="500"/>
      <c r="B30" s="500"/>
      <c r="C30" s="500"/>
      <c r="D30" s="500"/>
      <c r="E30" s="500"/>
      <c r="F30" s="500"/>
      <c r="G30" s="500"/>
      <c r="H30" s="500"/>
      <c r="I30" s="500"/>
      <c r="J30" s="500"/>
      <c r="K30" s="500"/>
      <c r="L30" s="500"/>
      <c r="M30" s="500"/>
      <c r="N30" s="500"/>
      <c r="O30" s="500"/>
      <c r="P30" s="500"/>
    </row>
    <row r="31" spans="1:16" hidden="1" x14ac:dyDescent="0.25">
      <c r="A31" s="500"/>
      <c r="B31" s="500"/>
      <c r="C31" s="500"/>
      <c r="D31" s="500"/>
      <c r="E31" s="500"/>
      <c r="F31" s="500"/>
      <c r="G31" s="500"/>
      <c r="H31" s="500"/>
      <c r="I31" s="500"/>
      <c r="J31" s="500"/>
      <c r="K31" s="500"/>
      <c r="L31" s="500"/>
      <c r="M31" s="500"/>
      <c r="N31" s="500"/>
      <c r="O31" s="500"/>
      <c r="P31" s="500"/>
    </row>
    <row r="32" spans="1:16" hidden="1" x14ac:dyDescent="0.25">
      <c r="A32" s="500"/>
      <c r="B32" s="500"/>
      <c r="C32" s="509">
        <v>199839.18749999997</v>
      </c>
      <c r="D32" s="509">
        <v>199839.18749999997</v>
      </c>
      <c r="E32" s="509">
        <v>199839.18749999997</v>
      </c>
      <c r="F32" s="509">
        <v>199839.18749999997</v>
      </c>
      <c r="G32" s="509">
        <v>199839.18749999997</v>
      </c>
      <c r="H32" s="509">
        <v>199839.18749999997</v>
      </c>
      <c r="I32" s="509">
        <v>199839.18749999997</v>
      </c>
      <c r="J32" s="509">
        <v>199839.18749999997</v>
      </c>
      <c r="K32" s="509">
        <v>199839.18749999997</v>
      </c>
      <c r="L32" s="509">
        <v>199839.18749999997</v>
      </c>
      <c r="M32" s="509">
        <v>199839.18749999997</v>
      </c>
      <c r="N32" s="509">
        <v>199839.18749999997</v>
      </c>
      <c r="O32" s="509">
        <f>SUM(C32:N32)</f>
        <v>2398070.2499999995</v>
      </c>
      <c r="P32" s="500"/>
    </row>
    <row r="33" spans="15:15" hidden="1" x14ac:dyDescent="0.25">
      <c r="O33" s="500"/>
    </row>
    <row r="34" spans="15:15" hidden="1" x14ac:dyDescent="0.25">
      <c r="O34" s="509">
        <f>O32-O27</f>
        <v>0</v>
      </c>
    </row>
    <row r="35" spans="15:15" hidden="1" x14ac:dyDescent="0.25">
      <c r="O35" s="500"/>
    </row>
    <row r="36" spans="15:15" x14ac:dyDescent="0.25">
      <c r="O36" s="500"/>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FFFF00"/>
  </sheetPr>
  <dimension ref="A1:O31"/>
  <sheetViews>
    <sheetView workbookViewId="0">
      <selection activeCell="E40" sqref="E40"/>
    </sheetView>
  </sheetViews>
  <sheetFormatPr baseColWidth="10" defaultRowHeight="12.75" x14ac:dyDescent="0.2"/>
  <cols>
    <col min="1" max="1" width="16.5703125" style="500" customWidth="1"/>
    <col min="2" max="2" width="9.28515625" style="500" bestFit="1" customWidth="1"/>
    <col min="3" max="4" width="9.7109375" style="500" customWidth="1"/>
    <col min="5" max="7" width="10.5703125" style="500" bestFit="1" customWidth="1"/>
    <col min="8" max="8" width="9.7109375" style="500" customWidth="1"/>
    <col min="9" max="10" width="10.5703125" style="500" bestFit="1" customWidth="1"/>
    <col min="11" max="14" width="9.7109375" style="500" customWidth="1"/>
    <col min="15" max="15" width="10.85546875"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292</v>
      </c>
      <c r="B4" s="1193"/>
      <c r="C4" s="1193"/>
      <c r="D4" s="1193"/>
      <c r="E4" s="1193"/>
      <c r="F4" s="1193"/>
      <c r="G4" s="1193"/>
      <c r="H4" s="1193"/>
      <c r="I4" s="1193"/>
      <c r="J4" s="1193"/>
      <c r="K4" s="1193"/>
      <c r="L4" s="1193"/>
      <c r="M4" s="1193"/>
      <c r="N4" s="1193"/>
      <c r="O4" s="1193"/>
    </row>
    <row r="5" spans="1:15" ht="13.5" thickBot="1" x14ac:dyDescent="0.25"/>
    <row r="6" spans="1:15" ht="34.5" thickBot="1" x14ac:dyDescent="0.25">
      <c r="A6" s="501" t="s">
        <v>286</v>
      </c>
      <c r="B6" s="503" t="s">
        <v>359</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31">
        <f>' CUADRO 11- FOCO'!H9</f>
        <v>1451704.5505944041</v>
      </c>
      <c r="C7" s="532">
        <f>$C$27*B7/100</f>
        <v>22682975710.269829</v>
      </c>
      <c r="D7" s="533">
        <f>$D$27*B7/100</f>
        <v>-9367024207.9606228</v>
      </c>
      <c r="E7" s="532">
        <f>$E$27*B7/100</f>
        <v>-18111078186.422543</v>
      </c>
      <c r="F7" s="533">
        <f>$F$27*B7/100</f>
        <v>-19137898396.122726</v>
      </c>
      <c r="G7" s="532">
        <f>$G$27*B7/100</f>
        <v>-15437623960.546377</v>
      </c>
      <c r="H7" s="532">
        <f>$H$27*B7/100</f>
        <v>-13077013417.735044</v>
      </c>
      <c r="I7" s="534">
        <f>$I$27*B7/100</f>
        <v>-14521063536.674395</v>
      </c>
      <c r="J7" s="533">
        <f>$J$27*B7/100</f>
        <v>-15772690955.289104</v>
      </c>
      <c r="K7" s="532">
        <f>$K$27*B7/100</f>
        <v>-7426857608.429863</v>
      </c>
      <c r="L7" s="533">
        <f>$L$27*B7/100</f>
        <v>-12715580144.077782</v>
      </c>
      <c r="M7" s="532">
        <f>$M$27*B7/100</f>
        <v>-13897099928.655169</v>
      </c>
      <c r="N7" s="532">
        <f>$N$27*B7/100</f>
        <v>14019039868.234364</v>
      </c>
      <c r="O7" s="535">
        <f>SUM(C7:N7)</f>
        <v>-102761914763.40945</v>
      </c>
    </row>
    <row r="8" spans="1:15" x14ac:dyDescent="0.2">
      <c r="A8" s="505" t="s">
        <v>141</v>
      </c>
      <c r="B8" s="536">
        <f>' CUADRO 11- FOCO'!H10</f>
        <v>600185.00610495452</v>
      </c>
      <c r="C8" s="532">
        <f t="shared" ref="C8:C26" si="0">$C$27*B8/100</f>
        <v>9377928800.7139969</v>
      </c>
      <c r="D8" s="533">
        <f t="shared" ref="D8:D26" si="1">$D$27*B8/100</f>
        <v>-3872652654.5213227</v>
      </c>
      <c r="E8" s="532">
        <f t="shared" ref="E8:E26" si="2">$E$27*B8/100</f>
        <v>-7487747811.6567001</v>
      </c>
      <c r="F8" s="533">
        <f t="shared" ref="F8:F26" si="3">$F$27*B8/100</f>
        <v>-7912270896.3127737</v>
      </c>
      <c r="G8" s="532">
        <f t="shared" ref="G8:G26" si="4">$G$27*B8/100</f>
        <v>-6382449119.7005386</v>
      </c>
      <c r="H8" s="532">
        <f t="shared" ref="H8:H26" si="5">$H$27*B8/100</f>
        <v>-5406490855.6939077</v>
      </c>
      <c r="I8" s="532">
        <f t="shared" ref="I8:I26" si="6">$I$27*B8/100</f>
        <v>-6003511254.2981577</v>
      </c>
      <c r="J8" s="533">
        <f t="shared" ref="J8:J26" si="7">$J$27*B8/100</f>
        <v>-6520977435.3987217</v>
      </c>
      <c r="K8" s="532">
        <f t="shared" ref="K8:K26" si="8">$K$27*B8/100</f>
        <v>-3070520497.5977898</v>
      </c>
      <c r="L8" s="533">
        <f t="shared" ref="L8:L26" si="9">$L$27*B8/100</f>
        <v>-5257061805.9139805</v>
      </c>
      <c r="M8" s="532">
        <f t="shared" ref="M8:M26" si="10">$M$27*B8/100</f>
        <v>-5745543059.7816133</v>
      </c>
      <c r="N8" s="532">
        <f t="shared" ref="N8:N26" si="11">$N$27*B8/100</f>
        <v>5795957259.6618929</v>
      </c>
      <c r="O8" s="535">
        <f t="shared" ref="O8:O26" si="12">SUM(C8:N8)</f>
        <v>-42485339330.499611</v>
      </c>
    </row>
    <row r="9" spans="1:15" x14ac:dyDescent="0.2">
      <c r="A9" s="505" t="s">
        <v>142</v>
      </c>
      <c r="B9" s="536">
        <f>' CUADRO 11- FOCO'!H11</f>
        <v>449797.58529375383</v>
      </c>
      <c r="C9" s="532">
        <f t="shared" si="0"/>
        <v>7028115808.8115797</v>
      </c>
      <c r="D9" s="533">
        <f t="shared" si="1"/>
        <v>-2902288119.4411726</v>
      </c>
      <c r="E9" s="532">
        <f t="shared" si="2"/>
        <v>-5611554521.8782349</v>
      </c>
      <c r="F9" s="533">
        <f t="shared" si="3"/>
        <v>-5929705519.3831043</v>
      </c>
      <c r="G9" s="532">
        <f t="shared" si="4"/>
        <v>-4783208799.1207285</v>
      </c>
      <c r="H9" s="532">
        <f t="shared" si="5"/>
        <v>-4051794875.0266285</v>
      </c>
      <c r="I9" s="532">
        <f t="shared" si="6"/>
        <v>-4499220803.5849752</v>
      </c>
      <c r="J9" s="533">
        <f t="shared" si="7"/>
        <v>-4887026290.8308725</v>
      </c>
      <c r="K9" s="532">
        <f t="shared" si="8"/>
        <v>-2301144965.9123039</v>
      </c>
      <c r="L9" s="533">
        <f t="shared" si="9"/>
        <v>-3939808029.1706395</v>
      </c>
      <c r="M9" s="532">
        <f t="shared" si="10"/>
        <v>-4305891297.1896753</v>
      </c>
      <c r="N9" s="532">
        <f t="shared" si="11"/>
        <v>4343673289.6420174</v>
      </c>
      <c r="O9" s="535">
        <f t="shared" si="12"/>
        <v>-31839854123.084736</v>
      </c>
    </row>
    <row r="10" spans="1:15" x14ac:dyDescent="0.2">
      <c r="A10" s="505" t="s">
        <v>259</v>
      </c>
      <c r="B10" s="536">
        <f>' CUADRO 11- FOCO'!H12</f>
        <v>7315917.1743964646</v>
      </c>
      <c r="C10" s="532">
        <f t="shared" si="0"/>
        <v>114311670027.64685</v>
      </c>
      <c r="D10" s="533">
        <f t="shared" si="1"/>
        <v>-47205454613.989777</v>
      </c>
      <c r="E10" s="532">
        <f t="shared" si="2"/>
        <v>-91271428402.31076</v>
      </c>
      <c r="F10" s="533">
        <f t="shared" si="3"/>
        <v>-96446125694.598694</v>
      </c>
      <c r="G10" s="532">
        <f t="shared" si="4"/>
        <v>-77798459899.152267</v>
      </c>
      <c r="H10" s="532">
        <f t="shared" si="5"/>
        <v>-65902078362.603714</v>
      </c>
      <c r="I10" s="532">
        <f t="shared" si="6"/>
        <v>-73179420754.009705</v>
      </c>
      <c r="J10" s="533">
        <f t="shared" si="7"/>
        <v>-79487042042.404495</v>
      </c>
      <c r="K10" s="532">
        <f t="shared" si="8"/>
        <v>-37427915416.440475</v>
      </c>
      <c r="L10" s="533">
        <f t="shared" si="9"/>
        <v>-64080622410.657547</v>
      </c>
      <c r="M10" s="532">
        <f t="shared" si="10"/>
        <v>-70034933761.64122</v>
      </c>
      <c r="N10" s="532">
        <f t="shared" si="11"/>
        <v>70649454462.735001</v>
      </c>
      <c r="O10" s="535">
        <f t="shared" si="12"/>
        <v>-517872356867.42676</v>
      </c>
    </row>
    <row r="11" spans="1:15" x14ac:dyDescent="0.2">
      <c r="A11" s="505" t="s">
        <v>144</v>
      </c>
      <c r="B11" s="536">
        <f>' CUADRO 11- FOCO'!H13</f>
        <v>3019289.6857495774</v>
      </c>
      <c r="C11" s="532">
        <f t="shared" si="0"/>
        <v>47176592906.651649</v>
      </c>
      <c r="D11" s="533">
        <f t="shared" si="1"/>
        <v>-19481759952.934002</v>
      </c>
      <c r="E11" s="532">
        <f t="shared" si="2"/>
        <v>-37667851591.206917</v>
      </c>
      <c r="F11" s="533">
        <f t="shared" si="3"/>
        <v>-39803456709.340332</v>
      </c>
      <c r="G11" s="532">
        <f t="shared" si="4"/>
        <v>-32107537844.0285</v>
      </c>
      <c r="H11" s="532">
        <f t="shared" si="5"/>
        <v>-27197883836.907249</v>
      </c>
      <c r="I11" s="532">
        <f t="shared" si="6"/>
        <v>-30201253653.467941</v>
      </c>
      <c r="J11" s="533">
        <f t="shared" si="7"/>
        <v>-32804418156.794342</v>
      </c>
      <c r="K11" s="532">
        <f t="shared" si="8"/>
        <v>-15446555268.757383</v>
      </c>
      <c r="L11" s="533">
        <f t="shared" si="9"/>
        <v>-26446166309.540371</v>
      </c>
      <c r="M11" s="532">
        <f t="shared" si="10"/>
        <v>-28903519286.510029</v>
      </c>
      <c r="N11" s="532">
        <f t="shared" si="11"/>
        <v>29157132875.929203</v>
      </c>
      <c r="O11" s="535">
        <f t="shared" si="12"/>
        <v>-213726676826.90622</v>
      </c>
    </row>
    <row r="12" spans="1:15" x14ac:dyDescent="0.2">
      <c r="A12" s="505" t="s">
        <v>260</v>
      </c>
      <c r="B12" s="536">
        <f>' CUADRO 11- FOCO'!H14</f>
        <v>1854011.3714214631</v>
      </c>
      <c r="C12" s="532">
        <f t="shared" si="0"/>
        <v>28969045311.112228</v>
      </c>
      <c r="D12" s="533">
        <f t="shared" si="1"/>
        <v>-11962881421.587011</v>
      </c>
      <c r="E12" s="532">
        <f t="shared" si="2"/>
        <v>-23130150616.791794</v>
      </c>
      <c r="F12" s="533">
        <f t="shared" si="3"/>
        <v>-24441530638.580673</v>
      </c>
      <c r="G12" s="532">
        <f t="shared" si="4"/>
        <v>-19715809500.53664</v>
      </c>
      <c r="H12" s="532">
        <f t="shared" si="5"/>
        <v>-16701009562.024639</v>
      </c>
      <c r="I12" s="532">
        <f t="shared" si="6"/>
        <v>-18545245250.560471</v>
      </c>
      <c r="J12" s="533">
        <f t="shared" si="7"/>
        <v>-20143732674.151184</v>
      </c>
      <c r="K12" s="532">
        <f t="shared" si="8"/>
        <v>-9485041880.1256981</v>
      </c>
      <c r="L12" s="533">
        <f t="shared" si="9"/>
        <v>-16239413296.382105</v>
      </c>
      <c r="M12" s="532">
        <f t="shared" si="10"/>
        <v>-17748364353.447392</v>
      </c>
      <c r="N12" s="532">
        <f t="shared" si="11"/>
        <v>17904097167.343788</v>
      </c>
      <c r="O12" s="535">
        <f t="shared" si="12"/>
        <v>-131240036715.73163</v>
      </c>
    </row>
    <row r="13" spans="1:15" x14ac:dyDescent="0.2">
      <c r="A13" s="505" t="s">
        <v>146</v>
      </c>
      <c r="B13" s="536">
        <f>' CUADRO 11- FOCO'!H15</f>
        <v>476857.1834381597</v>
      </c>
      <c r="C13" s="532">
        <f t="shared" si="0"/>
        <v>7450923746.685647</v>
      </c>
      <c r="D13" s="533">
        <f t="shared" si="1"/>
        <v>-3076888323.5753765</v>
      </c>
      <c r="E13" s="532">
        <f t="shared" si="2"/>
        <v>-5949142840.0286779</v>
      </c>
      <c r="F13" s="533">
        <f t="shared" si="3"/>
        <v>-6286433642.6885729</v>
      </c>
      <c r="G13" s="532">
        <f t="shared" si="4"/>
        <v>-5070964252.1884985</v>
      </c>
      <c r="H13" s="532">
        <f t="shared" si="5"/>
        <v>-4295548831.6206379</v>
      </c>
      <c r="I13" s="532">
        <f t="shared" si="6"/>
        <v>-4769891680.6383715</v>
      </c>
      <c r="J13" s="533">
        <f t="shared" si="7"/>
        <v>-5181027352.3631754</v>
      </c>
      <c r="K13" s="532">
        <f t="shared" si="8"/>
        <v>-2439580698.0849061</v>
      </c>
      <c r="L13" s="533">
        <f t="shared" si="9"/>
        <v>-4176824913.0337148</v>
      </c>
      <c r="M13" s="532">
        <f t="shared" si="10"/>
        <v>-4564931567.669013</v>
      </c>
      <c r="N13" s="532">
        <f t="shared" si="11"/>
        <v>4604986505.922493</v>
      </c>
      <c r="O13" s="535">
        <f t="shared" si="12"/>
        <v>-33755323849.282799</v>
      </c>
    </row>
    <row r="14" spans="1:15" x14ac:dyDescent="0.2">
      <c r="A14" s="505" t="s">
        <v>147</v>
      </c>
      <c r="B14" s="536">
        <f>' CUADRO 11- FOCO'!H16</f>
        <v>1142390.7291540997</v>
      </c>
      <c r="C14" s="532">
        <f t="shared" si="0"/>
        <v>17849927625.032116</v>
      </c>
      <c r="D14" s="533">
        <f t="shared" si="1"/>
        <v>-7371197955.2277136</v>
      </c>
      <c r="E14" s="532">
        <f t="shared" si="2"/>
        <v>-14252161575.633703</v>
      </c>
      <c r="F14" s="533">
        <f t="shared" si="3"/>
        <v>-15060197816.60936</v>
      </c>
      <c r="G14" s="532">
        <f t="shared" si="4"/>
        <v>-12148338644.715521</v>
      </c>
      <c r="H14" s="532">
        <f t="shared" si="5"/>
        <v>-10290701980.184223</v>
      </c>
      <c r="I14" s="532">
        <f t="shared" si="6"/>
        <v>-11427069202.863747</v>
      </c>
      <c r="J14" s="533">
        <f t="shared" si="7"/>
        <v>-12412013115.035866</v>
      </c>
      <c r="K14" s="532">
        <f t="shared" si="8"/>
        <v>-5844421494.1283445</v>
      </c>
      <c r="L14" s="533">
        <f t="shared" si="9"/>
        <v>-10006279078.248144</v>
      </c>
      <c r="M14" s="532">
        <f t="shared" si="10"/>
        <v>-10936053148.089485</v>
      </c>
      <c r="N14" s="532">
        <f t="shared" si="11"/>
        <v>11032011417.581612</v>
      </c>
      <c r="O14" s="535">
        <f t="shared" si="12"/>
        <v>-80866494968.122375</v>
      </c>
    </row>
    <row r="15" spans="1:15" x14ac:dyDescent="0.2">
      <c r="A15" s="505" t="s">
        <v>148</v>
      </c>
      <c r="B15" s="536">
        <f>' CUADRO 11- FOCO'!H17</f>
        <v>753340.77197127417</v>
      </c>
      <c r="C15" s="532">
        <f t="shared" si="0"/>
        <v>11770997359.74762</v>
      </c>
      <c r="D15" s="533">
        <f t="shared" si="1"/>
        <v>-4860879746.5085726</v>
      </c>
      <c r="E15" s="532">
        <f t="shared" si="2"/>
        <v>-9398478234.8482475</v>
      </c>
      <c r="F15" s="533">
        <f t="shared" si="3"/>
        <v>-9931331513.5229683</v>
      </c>
      <c r="G15" s="532">
        <f t="shared" si="4"/>
        <v>-8011128398.7354031</v>
      </c>
      <c r="H15" s="532">
        <f t="shared" si="5"/>
        <v>-6786124200.7965927</v>
      </c>
      <c r="I15" s="532">
        <f t="shared" si="6"/>
        <v>-7535492817.7934561</v>
      </c>
      <c r="J15" s="533">
        <f t="shared" si="7"/>
        <v>-8185006498.3654041</v>
      </c>
      <c r="K15" s="532">
        <f t="shared" si="8"/>
        <v>-3854058762.6899815</v>
      </c>
      <c r="L15" s="533">
        <f t="shared" si="9"/>
        <v>-6598563707.6634827</v>
      </c>
      <c r="M15" s="532">
        <f t="shared" si="10"/>
        <v>-7211696060.4197054</v>
      </c>
      <c r="N15" s="532">
        <f t="shared" si="11"/>
        <v>7274975002.528903</v>
      </c>
      <c r="O15" s="535">
        <f t="shared" si="12"/>
        <v>-53326787579.067291</v>
      </c>
    </row>
    <row r="16" spans="1:15" x14ac:dyDescent="0.2">
      <c r="A16" s="505" t="s">
        <v>149</v>
      </c>
      <c r="B16" s="536">
        <f>' CUADRO 11- FOCO'!H18</f>
        <v>534914.44804481708</v>
      </c>
      <c r="C16" s="532">
        <f t="shared" si="0"/>
        <v>8358072189.7612753</v>
      </c>
      <c r="D16" s="533">
        <f t="shared" si="1"/>
        <v>-3451498848.0074072</v>
      </c>
      <c r="E16" s="532">
        <f t="shared" si="2"/>
        <v>-6673449764.7059212</v>
      </c>
      <c r="F16" s="533">
        <f t="shared" si="3"/>
        <v>-7051805653.6422348</v>
      </c>
      <c r="G16" s="532">
        <f t="shared" si="4"/>
        <v>-5688353113.3094044</v>
      </c>
      <c r="H16" s="532">
        <f t="shared" si="5"/>
        <v>-4818531023.7942381</v>
      </c>
      <c r="I16" s="532">
        <f t="shared" si="6"/>
        <v>-5350625017.7169113</v>
      </c>
      <c r="J16" s="533">
        <f t="shared" si="7"/>
        <v>-5811816373.4317579</v>
      </c>
      <c r="K16" s="532">
        <f t="shared" si="8"/>
        <v>-2736599149.388948</v>
      </c>
      <c r="L16" s="533">
        <f t="shared" si="9"/>
        <v>-4685352492.3883505</v>
      </c>
      <c r="M16" s="532">
        <f t="shared" si="10"/>
        <v>-5120711052.8905306</v>
      </c>
      <c r="N16" s="532">
        <f t="shared" si="11"/>
        <v>5165642671.6885262</v>
      </c>
      <c r="O16" s="535">
        <f t="shared" si="12"/>
        <v>-37865027627.825897</v>
      </c>
    </row>
    <row r="17" spans="1:15" x14ac:dyDescent="0.2">
      <c r="A17" s="505" t="s">
        <v>150</v>
      </c>
      <c r="B17" s="536">
        <f>' CUADRO 11- FOCO'!H19</f>
        <v>1308803.3586646533</v>
      </c>
      <c r="C17" s="532">
        <f t="shared" si="0"/>
        <v>20450135519.623642</v>
      </c>
      <c r="D17" s="533">
        <f t="shared" si="1"/>
        <v>-8444964052.1222143</v>
      </c>
      <c r="E17" s="532">
        <f t="shared" si="2"/>
        <v>-16328281088.409048</v>
      </c>
      <c r="F17" s="533">
        <f t="shared" si="3"/>
        <v>-17254024373.191116</v>
      </c>
      <c r="G17" s="532">
        <f t="shared" si="4"/>
        <v>-13917993217.760536</v>
      </c>
      <c r="H17" s="532">
        <f t="shared" si="5"/>
        <v>-11789753690.188877</v>
      </c>
      <c r="I17" s="532">
        <f t="shared" si="6"/>
        <v>-13091656095.174837</v>
      </c>
      <c r="J17" s="533">
        <f t="shared" si="7"/>
        <v>-14220077280.194172</v>
      </c>
      <c r="K17" s="532">
        <f t="shared" si="8"/>
        <v>-6695781299.4780102</v>
      </c>
      <c r="L17" s="533">
        <f t="shared" si="9"/>
        <v>-11463898761.717312</v>
      </c>
      <c r="M17" s="532">
        <f t="shared" si="10"/>
        <v>-12529113485.850025</v>
      </c>
      <c r="N17" s="532">
        <f t="shared" si="11"/>
        <v>12639050044.505344</v>
      </c>
      <c r="O17" s="535">
        <f t="shared" si="12"/>
        <v>-92646357779.957169</v>
      </c>
    </row>
    <row r="18" spans="1:15" x14ac:dyDescent="0.2">
      <c r="A18" s="505" t="s">
        <v>151</v>
      </c>
      <c r="B18" s="536">
        <f>' CUADRO 11- FOCO'!H20</f>
        <v>939521.72462190478</v>
      </c>
      <c r="C18" s="532">
        <f t="shared" si="0"/>
        <v>14680086557.656364</v>
      </c>
      <c r="D18" s="533">
        <f t="shared" si="1"/>
        <v>-6062199594.8382883</v>
      </c>
      <c r="E18" s="532">
        <f t="shared" si="2"/>
        <v>-11721222066.502945</v>
      </c>
      <c r="F18" s="533">
        <f t="shared" si="3"/>
        <v>-12385764926.755833</v>
      </c>
      <c r="G18" s="532">
        <f t="shared" si="4"/>
        <v>-9991002013.1426048</v>
      </c>
      <c r="H18" s="532">
        <f t="shared" si="5"/>
        <v>-8463249766.699172</v>
      </c>
      <c r="I18" s="532">
        <f t="shared" si="6"/>
        <v>-9397817656.3092556</v>
      </c>
      <c r="J18" s="533">
        <f t="shared" si="7"/>
        <v>-10207852418.850618</v>
      </c>
      <c r="K18" s="532">
        <f t="shared" si="8"/>
        <v>-4806552453.0706377</v>
      </c>
      <c r="L18" s="533">
        <f t="shared" si="9"/>
        <v>-8229335495.0499086</v>
      </c>
      <c r="M18" s="532">
        <f t="shared" si="10"/>
        <v>-8993997633.2422352</v>
      </c>
      <c r="N18" s="532">
        <f t="shared" si="11"/>
        <v>9072915359.5019131</v>
      </c>
      <c r="O18" s="535">
        <f t="shared" si="12"/>
        <v>-66505992107.30323</v>
      </c>
    </row>
    <row r="19" spans="1:15" x14ac:dyDescent="0.2">
      <c r="A19" s="505" t="s">
        <v>152</v>
      </c>
      <c r="B19" s="536">
        <f>' CUADRO 11- FOCO'!H21</f>
        <v>1618819.014062593</v>
      </c>
      <c r="C19" s="532">
        <f t="shared" si="0"/>
        <v>25294149804.979122</v>
      </c>
      <c r="D19" s="533">
        <f t="shared" si="1"/>
        <v>-10445318840.409033</v>
      </c>
      <c r="E19" s="532">
        <f t="shared" si="2"/>
        <v>-20195953592.175846</v>
      </c>
      <c r="F19" s="533">
        <f t="shared" si="3"/>
        <v>-21340977267.141796</v>
      </c>
      <c r="G19" s="532">
        <f t="shared" si="4"/>
        <v>-17214741931.509571</v>
      </c>
      <c r="H19" s="532">
        <f t="shared" si="5"/>
        <v>-14582387276.469797</v>
      </c>
      <c r="I19" s="532">
        <f t="shared" si="6"/>
        <v>-16192670711.099255</v>
      </c>
      <c r="J19" s="533">
        <f t="shared" si="7"/>
        <v>-17588380508.210487</v>
      </c>
      <c r="K19" s="532">
        <f t="shared" si="8"/>
        <v>-8281807965.9108028</v>
      </c>
      <c r="L19" s="533">
        <f t="shared" si="9"/>
        <v>-14179347239.52034</v>
      </c>
      <c r="M19" s="532">
        <f t="shared" si="10"/>
        <v>-15496878890.145714</v>
      </c>
      <c r="N19" s="532">
        <f t="shared" si="11"/>
        <v>15632856071.372856</v>
      </c>
      <c r="O19" s="535">
        <f t="shared" si="12"/>
        <v>-114591458346.24063</v>
      </c>
    </row>
    <row r="20" spans="1:15" x14ac:dyDescent="0.2">
      <c r="A20" s="505" t="s">
        <v>261</v>
      </c>
      <c r="B20" s="536">
        <f>' CUADRO 11- FOCO'!H22</f>
        <v>299566.12758425029</v>
      </c>
      <c r="C20" s="532">
        <f t="shared" si="0"/>
        <v>4680739750.2686691</v>
      </c>
      <c r="D20" s="533">
        <f t="shared" si="1"/>
        <v>-1932929925.5952265</v>
      </c>
      <c r="E20" s="532">
        <f t="shared" si="2"/>
        <v>-3737306986.0948753</v>
      </c>
      <c r="F20" s="533">
        <f t="shared" si="3"/>
        <v>-3949196212.3283978</v>
      </c>
      <c r="G20" s="532">
        <f t="shared" si="4"/>
        <v>-3185627011.4116302</v>
      </c>
      <c r="H20" s="532">
        <f t="shared" si="5"/>
        <v>-2698503816.2993755</v>
      </c>
      <c r="I20" s="532">
        <f t="shared" si="6"/>
        <v>-2996490415.5637455</v>
      </c>
      <c r="J20" s="533">
        <f t="shared" si="7"/>
        <v>-3254769676.8770461</v>
      </c>
      <c r="K20" s="532">
        <f t="shared" si="8"/>
        <v>-1532567334.7004364</v>
      </c>
      <c r="L20" s="533">
        <f t="shared" si="9"/>
        <v>-2623920343.9769444</v>
      </c>
      <c r="M20" s="532">
        <f t="shared" si="10"/>
        <v>-2867732562.093298</v>
      </c>
      <c r="N20" s="532">
        <f t="shared" si="11"/>
        <v>2892895447.6698704</v>
      </c>
      <c r="O20" s="535">
        <f t="shared" si="12"/>
        <v>-21205409087.002441</v>
      </c>
    </row>
    <row r="21" spans="1:15" x14ac:dyDescent="0.2">
      <c r="A21" s="505" t="s">
        <v>262</v>
      </c>
      <c r="B21" s="536">
        <f>' CUADRO 11- FOCO'!H23</f>
        <v>971299.20659264072</v>
      </c>
      <c r="C21" s="532">
        <f t="shared" si="0"/>
        <v>15176611729.655449</v>
      </c>
      <c r="D21" s="533">
        <f t="shared" si="1"/>
        <v>-6267241621.3071299</v>
      </c>
      <c r="E21" s="532">
        <f t="shared" si="2"/>
        <v>-12117669443.005264</v>
      </c>
      <c r="F21" s="533">
        <f t="shared" si="3"/>
        <v>-12804689163.778826</v>
      </c>
      <c r="G21" s="532">
        <f t="shared" si="4"/>
        <v>-10328928085.54928</v>
      </c>
      <c r="H21" s="532">
        <f t="shared" si="5"/>
        <v>-8749502611.9788799</v>
      </c>
      <c r="I21" s="532">
        <f t="shared" si="6"/>
        <v>-9715680429.7941513</v>
      </c>
      <c r="J21" s="533">
        <f t="shared" si="7"/>
        <v>-10553113031.456995</v>
      </c>
      <c r="K21" s="532">
        <f t="shared" si="8"/>
        <v>-4969124674.5701637</v>
      </c>
      <c r="L21" s="533">
        <f t="shared" si="9"/>
        <v>-8507676648.2896862</v>
      </c>
      <c r="M21" s="532">
        <f t="shared" si="10"/>
        <v>-9298201985.4622078</v>
      </c>
      <c r="N21" s="532">
        <f t="shared" si="11"/>
        <v>9379788949.2261028</v>
      </c>
      <c r="O21" s="535">
        <f t="shared" si="12"/>
        <v>-68755427016.31102</v>
      </c>
    </row>
    <row r="22" spans="1:15" x14ac:dyDescent="0.2">
      <c r="A22" s="505" t="s">
        <v>263</v>
      </c>
      <c r="B22" s="536">
        <f>' CUADRO 11- FOCO'!H24</f>
        <v>3664392.0651432294</v>
      </c>
      <c r="C22" s="532">
        <f t="shared" si="0"/>
        <v>57256358514.903015</v>
      </c>
      <c r="D22" s="533">
        <f t="shared" si="1"/>
        <v>-23644238882.905766</v>
      </c>
      <c r="E22" s="532">
        <f t="shared" si="2"/>
        <v>-45715976553.453415</v>
      </c>
      <c r="F22" s="533">
        <f t="shared" si="3"/>
        <v>-48307875729.641449</v>
      </c>
      <c r="G22" s="532">
        <f t="shared" si="4"/>
        <v>-38967644430.492836</v>
      </c>
      <c r="H22" s="532">
        <f t="shared" si="5"/>
        <v>-33008992211.327824</v>
      </c>
      <c r="I22" s="532">
        <f t="shared" si="6"/>
        <v>-36654062963.047821</v>
      </c>
      <c r="J22" s="533">
        <f t="shared" si="7"/>
        <v>-39813420409.030548</v>
      </c>
      <c r="K22" s="532">
        <f t="shared" si="8"/>
        <v>-18746871102.756962</v>
      </c>
      <c r="L22" s="533">
        <f t="shared" si="9"/>
        <v>-32096662481.751564</v>
      </c>
      <c r="M22" s="532">
        <f t="shared" si="10"/>
        <v>-35079054265.012398</v>
      </c>
      <c r="N22" s="532">
        <f t="shared" si="11"/>
        <v>35386855013.336212</v>
      </c>
      <c r="O22" s="535">
        <f t="shared" si="12"/>
        <v>-259391585501.18137</v>
      </c>
    </row>
    <row r="23" spans="1:15" x14ac:dyDescent="0.2">
      <c r="A23" s="505" t="s">
        <v>156</v>
      </c>
      <c r="B23" s="536">
        <f>' CUADRO 11- FOCO'!H25</f>
        <v>1447922.4453782549</v>
      </c>
      <c r="C23" s="532">
        <f t="shared" si="0"/>
        <v>22623880076.301834</v>
      </c>
      <c r="D23" s="533">
        <f t="shared" si="1"/>
        <v>-9342620433.0312004</v>
      </c>
      <c r="E23" s="532">
        <f t="shared" si="2"/>
        <v>-18063893652.041283</v>
      </c>
      <c r="F23" s="533">
        <f t="shared" si="3"/>
        <v>-19088038701.654957</v>
      </c>
      <c r="G23" s="532">
        <f t="shared" si="4"/>
        <v>-15397404538.431713</v>
      </c>
      <c r="H23" s="532">
        <f t="shared" si="5"/>
        <v>-13042944060.68948</v>
      </c>
      <c r="I23" s="532">
        <f t="shared" si="6"/>
        <v>-14483232016.394594</v>
      </c>
      <c r="J23" s="533">
        <f t="shared" si="7"/>
        <v>-15731598587.899137</v>
      </c>
      <c r="K23" s="532">
        <f t="shared" si="8"/>
        <v>-7407508521.9446421</v>
      </c>
      <c r="L23" s="533">
        <f t="shared" si="9"/>
        <v>-12682452423.998936</v>
      </c>
      <c r="M23" s="532">
        <f t="shared" si="10"/>
        <v>-13860894011.88788</v>
      </c>
      <c r="N23" s="532">
        <f t="shared" si="11"/>
        <v>13982516263.077002</v>
      </c>
      <c r="O23" s="535">
        <f t="shared" si="12"/>
        <v>-102494190608.59499</v>
      </c>
    </row>
    <row r="24" spans="1:15" x14ac:dyDescent="0.2">
      <c r="A24" s="505" t="s">
        <v>157</v>
      </c>
      <c r="B24" s="536">
        <f>' CUADRO 11- FOCO'!H26</f>
        <v>16607107.031783707</v>
      </c>
      <c r="C24" s="532">
        <f t="shared" si="0"/>
        <v>259487101053.4209</v>
      </c>
      <c r="D24" s="533">
        <f t="shared" si="1"/>
        <v>-107156220959.15933</v>
      </c>
      <c r="E24" s="532">
        <f t="shared" si="2"/>
        <v>-207185831152.60626</v>
      </c>
      <c r="F24" s="533">
        <f t="shared" si="3"/>
        <v>-218932376355.55911</v>
      </c>
      <c r="G24" s="532">
        <f t="shared" si="4"/>
        <v>-176602238605.81638</v>
      </c>
      <c r="H24" s="532">
        <f t="shared" si="5"/>
        <v>-149597493095.60007</v>
      </c>
      <c r="I24" s="532">
        <f t="shared" si="6"/>
        <v>-166117035501.57138</v>
      </c>
      <c r="J24" s="533">
        <f t="shared" si="7"/>
        <v>-180435314311.35999</v>
      </c>
      <c r="K24" s="532">
        <f t="shared" si="8"/>
        <v>-84961240331.244125</v>
      </c>
      <c r="L24" s="533">
        <f t="shared" si="9"/>
        <v>-145462794297.54474</v>
      </c>
      <c r="M24" s="532">
        <f t="shared" si="10"/>
        <v>-158979060754.52634</v>
      </c>
      <c r="N24" s="532">
        <f t="shared" si="11"/>
        <v>160374020649.92087</v>
      </c>
      <c r="O24" s="535">
        <f t="shared" si="12"/>
        <v>-1175568483661.646</v>
      </c>
    </row>
    <row r="25" spans="1:15" x14ac:dyDescent="0.2">
      <c r="A25" s="505" t="s">
        <v>158</v>
      </c>
      <c r="B25" s="536">
        <f>' CUADRO 11- FOCO'!H27</f>
        <v>1172218.6723536248</v>
      </c>
      <c r="C25" s="532">
        <f t="shared" si="0"/>
        <v>18315991130.037392</v>
      </c>
      <c r="D25" s="533">
        <f t="shared" si="1"/>
        <v>-7563660716.2690201</v>
      </c>
      <c r="E25" s="532">
        <f t="shared" si="2"/>
        <v>-14624287027.197231</v>
      </c>
      <c r="F25" s="533">
        <f t="shared" si="3"/>
        <v>-15453421180.195358</v>
      </c>
      <c r="G25" s="532">
        <f t="shared" si="4"/>
        <v>-12465533056.23835</v>
      </c>
      <c r="H25" s="532">
        <f t="shared" si="5"/>
        <v>-10559393301.213642</v>
      </c>
      <c r="I25" s="532">
        <f t="shared" si="6"/>
        <v>-11725431192.699263</v>
      </c>
      <c r="J25" s="533">
        <f t="shared" si="7"/>
        <v>-12736092094.967005</v>
      </c>
      <c r="K25" s="532">
        <f t="shared" si="8"/>
        <v>-5997019959.707655</v>
      </c>
      <c r="L25" s="533">
        <f t="shared" si="9"/>
        <v>-10267544087.117382</v>
      </c>
      <c r="M25" s="532">
        <f t="shared" si="10"/>
        <v>-11221594656.614981</v>
      </c>
      <c r="N25" s="532">
        <f t="shared" si="11"/>
        <v>11320058406.709223</v>
      </c>
      <c r="O25" s="535">
        <f t="shared" si="12"/>
        <v>-82977927735.473267</v>
      </c>
    </row>
    <row r="26" spans="1:15" ht="13.5" thickBot="1" x14ac:dyDescent="0.25">
      <c r="A26" s="505" t="s">
        <v>159</v>
      </c>
      <c r="B26" s="537">
        <f>' CUADRO 11- FOCO'!H28</f>
        <v>2543329.2901461748</v>
      </c>
      <c r="C26" s="532">
        <f t="shared" si="0"/>
        <v>39739681526.783165</v>
      </c>
      <c r="D26" s="533">
        <f t="shared" si="1"/>
        <v>-16410658091.455294</v>
      </c>
      <c r="E26" s="532">
        <f t="shared" si="2"/>
        <v>-31729896836.650089</v>
      </c>
      <c r="F26" s="533">
        <f t="shared" si="3"/>
        <v>-33528845468.432785</v>
      </c>
      <c r="G26" s="532">
        <f t="shared" si="4"/>
        <v>-27046110155.846573</v>
      </c>
      <c r="H26" s="532">
        <f t="shared" si="5"/>
        <v>-22910413306.44175</v>
      </c>
      <c r="I26" s="538">
        <f t="shared" si="6"/>
        <v>-25440332333.308285</v>
      </c>
      <c r="J26" s="533">
        <f t="shared" si="7"/>
        <v>-27633134355.461777</v>
      </c>
      <c r="K26" s="532">
        <f t="shared" si="8"/>
        <v>-13011562498.395777</v>
      </c>
      <c r="L26" s="533">
        <f t="shared" si="9"/>
        <v>-22277196422.917103</v>
      </c>
      <c r="M26" s="532">
        <f t="shared" si="10"/>
        <v>-24347172626.940479</v>
      </c>
      <c r="N26" s="532">
        <f t="shared" si="11"/>
        <v>24560806606.281139</v>
      </c>
      <c r="O26" s="535">
        <f t="shared" si="12"/>
        <v>-180034833962.78568</v>
      </c>
    </row>
    <row r="27" spans="1:15" ht="13.5" thickBot="1" x14ac:dyDescent="0.25">
      <c r="A27" s="510" t="s">
        <v>264</v>
      </c>
      <c r="B27" s="949">
        <f>' CUADRO 11- FOCO'!H29</f>
        <v>48171387.442499995</v>
      </c>
      <c r="C27" s="540">
        <f>' FOCO ESTIMACION'!C31</f>
        <v>1562506.3447643137</v>
      </c>
      <c r="D27" s="540">
        <f>' FOCO ESTIMACION'!D31</f>
        <v>-645243.15254955087</v>
      </c>
      <c r="E27" s="540">
        <f>' FOCO ESTIMACION'!E31</f>
        <v>-1247573.2874851786</v>
      </c>
      <c r="F27" s="540">
        <f>' FOCO ESTIMACION'!F31</f>
        <v>-1318305.3251632135</v>
      </c>
      <c r="G27" s="540">
        <f>' FOCO ESTIMACION'!G31</f>
        <v>-1063413.623262764</v>
      </c>
      <c r="H27" s="540">
        <f>' FOCO ESTIMACION'!H31</f>
        <v>-900804.05220060982</v>
      </c>
      <c r="I27" s="540">
        <f>' FOCO ESTIMACION'!I31</f>
        <v>-1000276.7801980581</v>
      </c>
      <c r="J27" s="540">
        <f>' FOCO ESTIMACION'!J31</f>
        <v>-1086494.5590224219</v>
      </c>
      <c r="K27" s="540">
        <f>' FOCO ESTIMACION'!K31</f>
        <v>-511595.66906289011</v>
      </c>
      <c r="L27" s="540">
        <f>' FOCO ESTIMACION'!L31</f>
        <v>-875906.88744974695</v>
      </c>
      <c r="M27" s="540">
        <f>' FOCO ESTIMACION'!M31</f>
        <v>-957295.33416182827</v>
      </c>
      <c r="N27" s="540">
        <f>' FOCO ESTIMACION'!N31</f>
        <v>965695.11079194676</v>
      </c>
      <c r="O27" s="540">
        <f>SUM(C27:N27)</f>
        <v>-7078707.2150000017</v>
      </c>
    </row>
    <row r="28" spans="1:15" x14ac:dyDescent="0.2">
      <c r="A28" s="514" t="s">
        <v>265</v>
      </c>
      <c r="O28" s="509"/>
    </row>
    <row r="31" spans="1:15" x14ac:dyDescent="0.2">
      <c r="C31" s="509"/>
      <c r="D31" s="509"/>
      <c r="E31" s="509"/>
      <c r="F31" s="509"/>
      <c r="G31" s="509"/>
      <c r="H31" s="509"/>
      <c r="I31" s="509"/>
      <c r="J31" s="509"/>
      <c r="K31" s="509"/>
      <c r="L31" s="509"/>
      <c r="M31" s="509"/>
      <c r="N31" s="509"/>
      <c r="O31" s="509"/>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FFFF00"/>
  </sheetPr>
  <dimension ref="A1:O31"/>
  <sheetViews>
    <sheetView workbookViewId="0">
      <selection activeCell="C30" sqref="C30"/>
    </sheetView>
  </sheetViews>
  <sheetFormatPr baseColWidth="10" defaultRowHeight="12.75" x14ac:dyDescent="0.2"/>
  <cols>
    <col min="1" max="1" width="16.5703125" style="500" customWidth="1"/>
    <col min="2" max="2" width="9.28515625" style="500" bestFit="1" customWidth="1"/>
    <col min="3" max="3" width="12.7109375" style="500" bestFit="1" customWidth="1"/>
    <col min="4" max="4" width="11.85546875" style="500" bestFit="1" customWidth="1"/>
    <col min="5" max="7" width="12.28515625" style="500" bestFit="1" customWidth="1"/>
    <col min="8" max="8" width="11.85546875" style="500" bestFit="1" customWidth="1"/>
    <col min="9" max="10" width="12.28515625" style="500" bestFit="1" customWidth="1"/>
    <col min="11" max="14" width="11.85546875" style="500" bestFit="1" customWidth="1"/>
    <col min="15" max="15" width="13.7109375"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292</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16">
        <v>3.8100000000000002E-2</v>
      </c>
      <c r="C7" s="532">
        <v>221149.74295927721</v>
      </c>
      <c r="D7" s="533">
        <v>222516.2298324453</v>
      </c>
      <c r="E7" s="532">
        <v>252825.77036195033</v>
      </c>
      <c r="F7" s="533">
        <v>242573.30921120683</v>
      </c>
      <c r="G7" s="532">
        <v>258898.84233744943</v>
      </c>
      <c r="H7" s="532">
        <v>248735.24449241886</v>
      </c>
      <c r="I7" s="534">
        <v>257861.19628767337</v>
      </c>
      <c r="J7" s="533">
        <v>255959.02638851784</v>
      </c>
      <c r="K7" s="532">
        <v>244192.50881827332</v>
      </c>
      <c r="L7" s="533">
        <v>257063.79269192531</v>
      </c>
      <c r="M7" s="532">
        <v>247583.00890387889</v>
      </c>
      <c r="N7" s="532">
        <v>182239.87521498336</v>
      </c>
      <c r="O7" s="535">
        <f>SUM(C7:N7)</f>
        <v>2891598.5474999999</v>
      </c>
    </row>
    <row r="8" spans="1:15" x14ac:dyDescent="0.2">
      <c r="A8" s="505" t="s">
        <v>141</v>
      </c>
      <c r="B8" s="517">
        <v>1.6299999999999999E-2</v>
      </c>
      <c r="C8" s="532">
        <v>94612.619691239321</v>
      </c>
      <c r="D8" s="533">
        <v>95197.232185534333</v>
      </c>
      <c r="E8" s="532">
        <v>108164.30595537506</v>
      </c>
      <c r="F8" s="533">
        <v>103778.08241844281</v>
      </c>
      <c r="G8" s="532">
        <v>110762.49685302953</v>
      </c>
      <c r="H8" s="532">
        <v>106414.29095082486</v>
      </c>
      <c r="I8" s="532">
        <v>110318.56954039568</v>
      </c>
      <c r="J8" s="533">
        <v>109504.78031844726</v>
      </c>
      <c r="K8" s="532">
        <v>104470.81085926128</v>
      </c>
      <c r="L8" s="533">
        <v>109977.42312016751</v>
      </c>
      <c r="M8" s="532">
        <v>105921.33976727625</v>
      </c>
      <c r="N8" s="532">
        <v>77966.140840005988</v>
      </c>
      <c r="O8" s="535">
        <f t="shared" ref="O8:O26" si="0">SUM(C8:N8)</f>
        <v>1237088.0925</v>
      </c>
    </row>
    <row r="9" spans="1:15" x14ac:dyDescent="0.2">
      <c r="A9" s="505" t="s">
        <v>142</v>
      </c>
      <c r="B9" s="517">
        <v>1.32E-2</v>
      </c>
      <c r="C9" s="532">
        <v>76618.808584316517</v>
      </c>
      <c r="D9" s="533">
        <v>77092.237107303881</v>
      </c>
      <c r="E9" s="532">
        <v>87593.180282880421</v>
      </c>
      <c r="F9" s="533">
        <v>84041.146498370872</v>
      </c>
      <c r="G9" s="532">
        <v>89697.23671533681</v>
      </c>
      <c r="H9" s="532">
        <v>86175.990217845901</v>
      </c>
      <c r="I9" s="532">
        <v>89337.73729651676</v>
      </c>
      <c r="J9" s="533">
        <v>88678.717803895939</v>
      </c>
      <c r="K9" s="532">
        <v>84602.129039401771</v>
      </c>
      <c r="L9" s="533">
        <v>89061.47148381664</v>
      </c>
      <c r="M9" s="532">
        <v>85776.790486383237</v>
      </c>
      <c r="N9" s="532">
        <v>63138.224483931241</v>
      </c>
      <c r="O9" s="535">
        <f t="shared" si="0"/>
        <v>1001813.6699999999</v>
      </c>
    </row>
    <row r="10" spans="1:15" x14ac:dyDescent="0.2">
      <c r="A10" s="505" t="s">
        <v>259</v>
      </c>
      <c r="B10" s="517">
        <v>7.6399999999999996E-2</v>
      </c>
      <c r="C10" s="532">
        <v>443460.37695771072</v>
      </c>
      <c r="D10" s="533">
        <v>446200.52386348607</v>
      </c>
      <c r="E10" s="532">
        <v>506978.71012212604</v>
      </c>
      <c r="F10" s="533">
        <v>486419.96912693436</v>
      </c>
      <c r="G10" s="532">
        <v>519156.73371604027</v>
      </c>
      <c r="H10" s="532">
        <v>498776.18580632017</v>
      </c>
      <c r="I10" s="532">
        <v>517075.99465559697</v>
      </c>
      <c r="J10" s="533">
        <v>513261.66971345828</v>
      </c>
      <c r="K10" s="532">
        <v>489666.86807653756</v>
      </c>
      <c r="L10" s="533">
        <v>515477.00161845388</v>
      </c>
      <c r="M10" s="532">
        <v>496465.66614846047</v>
      </c>
      <c r="N10" s="532">
        <v>365436.39019487472</v>
      </c>
      <c r="O10" s="535">
        <f t="shared" si="0"/>
        <v>5798376.0899999999</v>
      </c>
    </row>
    <row r="11" spans="1:15" x14ac:dyDescent="0.2">
      <c r="A11" s="505" t="s">
        <v>144</v>
      </c>
      <c r="B11" s="517">
        <v>6.2E-2</v>
      </c>
      <c r="C11" s="532">
        <v>359876.22213845636</v>
      </c>
      <c r="D11" s="533">
        <v>362099.90156460914</v>
      </c>
      <c r="E11" s="532">
        <v>411422.51344989287</v>
      </c>
      <c r="F11" s="533">
        <v>394738.71840143891</v>
      </c>
      <c r="G11" s="532">
        <v>421305.20275385468</v>
      </c>
      <c r="H11" s="532">
        <v>404766.0146595792</v>
      </c>
      <c r="I11" s="532">
        <v>419616.64487757871</v>
      </c>
      <c r="J11" s="533">
        <v>416521.25029102637</v>
      </c>
      <c r="K11" s="532">
        <v>397373.63639719016</v>
      </c>
      <c r="L11" s="533">
        <v>418319.03272701753</v>
      </c>
      <c r="M11" s="532">
        <v>402890.98561786063</v>
      </c>
      <c r="N11" s="532">
        <v>296558.32712149521</v>
      </c>
      <c r="O11" s="535">
        <f t="shared" si="0"/>
        <v>4705488.4499999993</v>
      </c>
    </row>
    <row r="12" spans="1:15" x14ac:dyDescent="0.2">
      <c r="A12" s="505" t="s">
        <v>260</v>
      </c>
      <c r="B12" s="517">
        <v>7.2300000000000003E-2</v>
      </c>
      <c r="C12" s="532">
        <v>419662.11065500637</v>
      </c>
      <c r="D12" s="533">
        <v>422255.20779227809</v>
      </c>
      <c r="E12" s="532">
        <v>479771.73745850415</v>
      </c>
      <c r="F12" s="533">
        <v>460316.27968425862</v>
      </c>
      <c r="G12" s="532">
        <v>491296.22837264027</v>
      </c>
      <c r="H12" s="532">
        <v>472009.40096592868</v>
      </c>
      <c r="I12" s="532">
        <v>489327.15201046679</v>
      </c>
      <c r="J12" s="533">
        <v>485717.52251679369</v>
      </c>
      <c r="K12" s="532">
        <v>463388.93405672337</v>
      </c>
      <c r="L12" s="533">
        <v>487813.9688090866</v>
      </c>
      <c r="M12" s="532">
        <v>469822.87516405364</v>
      </c>
      <c r="N12" s="532">
        <v>345825.27501425974</v>
      </c>
      <c r="O12" s="535">
        <f t="shared" si="0"/>
        <v>5487206.6924999999</v>
      </c>
    </row>
    <row r="13" spans="1:15" x14ac:dyDescent="0.2">
      <c r="A13" s="505" t="s">
        <v>146</v>
      </c>
      <c r="B13" s="517">
        <v>0.02</v>
      </c>
      <c r="C13" s="532">
        <v>116089.10391563109</v>
      </c>
      <c r="D13" s="533">
        <v>116806.41985955134</v>
      </c>
      <c r="E13" s="532">
        <v>132716.93982254609</v>
      </c>
      <c r="F13" s="533">
        <v>127335.07045207708</v>
      </c>
      <c r="G13" s="532">
        <v>135904.90411414669</v>
      </c>
      <c r="H13" s="532">
        <v>130569.68214825136</v>
      </c>
      <c r="I13" s="532">
        <v>135360.20802502538</v>
      </c>
      <c r="J13" s="533">
        <v>134361.69364226659</v>
      </c>
      <c r="K13" s="532">
        <v>128185.0439990936</v>
      </c>
      <c r="L13" s="533">
        <v>134941.62346032824</v>
      </c>
      <c r="M13" s="532">
        <v>129964.83407027763</v>
      </c>
      <c r="N13" s="532">
        <v>95663.976490804911</v>
      </c>
      <c r="O13" s="535">
        <f t="shared" si="0"/>
        <v>1517899.5</v>
      </c>
    </row>
    <row r="14" spans="1:15" x14ac:dyDescent="0.2">
      <c r="A14" s="505" t="s">
        <v>147</v>
      </c>
      <c r="B14" s="517">
        <v>2.6700000000000002E-2</v>
      </c>
      <c r="C14" s="532">
        <v>154978.95372736751</v>
      </c>
      <c r="D14" s="533">
        <v>155936.57051250106</v>
      </c>
      <c r="E14" s="532">
        <v>177177.11466309906</v>
      </c>
      <c r="F14" s="533">
        <v>169992.31905352289</v>
      </c>
      <c r="G14" s="532">
        <v>181433.04699238582</v>
      </c>
      <c r="H14" s="532">
        <v>174310.52566791559</v>
      </c>
      <c r="I14" s="532">
        <v>180705.8777134089</v>
      </c>
      <c r="J14" s="533">
        <v>179372.86101242588</v>
      </c>
      <c r="K14" s="532">
        <v>171127.03373878996</v>
      </c>
      <c r="L14" s="533">
        <v>180147.06731953821</v>
      </c>
      <c r="M14" s="532">
        <v>173503.05348382064</v>
      </c>
      <c r="N14" s="532">
        <v>127711.40861522456</v>
      </c>
      <c r="O14" s="535">
        <f t="shared" si="0"/>
        <v>2026395.8325</v>
      </c>
    </row>
    <row r="15" spans="1:15" x14ac:dyDescent="0.2">
      <c r="A15" s="505" t="s">
        <v>148</v>
      </c>
      <c r="B15" s="517">
        <v>2.3E-2</v>
      </c>
      <c r="C15" s="532">
        <v>133502.46950297573</v>
      </c>
      <c r="D15" s="533">
        <v>134327.38283848405</v>
      </c>
      <c r="E15" s="532">
        <v>152624.48079592802</v>
      </c>
      <c r="F15" s="533">
        <v>146435.33101988863</v>
      </c>
      <c r="G15" s="532">
        <v>156290.63973126869</v>
      </c>
      <c r="H15" s="532">
        <v>150155.13447048908</v>
      </c>
      <c r="I15" s="532">
        <v>155664.23922877919</v>
      </c>
      <c r="J15" s="533">
        <v>154515.94768860657</v>
      </c>
      <c r="K15" s="532">
        <v>147412.80059895763</v>
      </c>
      <c r="L15" s="533">
        <v>155182.86697937749</v>
      </c>
      <c r="M15" s="532">
        <v>149459.55918081925</v>
      </c>
      <c r="N15" s="532">
        <v>110013.57296442564</v>
      </c>
      <c r="O15" s="535">
        <f t="shared" si="0"/>
        <v>1745584.425</v>
      </c>
    </row>
    <row r="16" spans="1:15" x14ac:dyDescent="0.2">
      <c r="A16" s="505" t="s">
        <v>149</v>
      </c>
      <c r="B16" s="517">
        <v>2.3099999999999999E-2</v>
      </c>
      <c r="C16" s="532">
        <v>134082.91502255391</v>
      </c>
      <c r="D16" s="533">
        <v>134911.41493778178</v>
      </c>
      <c r="E16" s="532">
        <v>153288.06549504073</v>
      </c>
      <c r="F16" s="533">
        <v>147072.00637214902</v>
      </c>
      <c r="G16" s="532">
        <v>156970.16425183942</v>
      </c>
      <c r="H16" s="532">
        <v>150807.98288123033</v>
      </c>
      <c r="I16" s="532">
        <v>156341.04026890433</v>
      </c>
      <c r="J16" s="533">
        <v>155187.75615681789</v>
      </c>
      <c r="K16" s="532">
        <v>148053.7258189531</v>
      </c>
      <c r="L16" s="533">
        <v>155857.57509667912</v>
      </c>
      <c r="M16" s="532">
        <v>150109.38335117066</v>
      </c>
      <c r="N16" s="532">
        <v>110491.89284687967</v>
      </c>
      <c r="O16" s="535">
        <f t="shared" si="0"/>
        <v>1753173.9224999999</v>
      </c>
    </row>
    <row r="17" spans="1:15" x14ac:dyDescent="0.2">
      <c r="A17" s="505" t="s">
        <v>150</v>
      </c>
      <c r="B17" s="517">
        <v>5.0500000000000003E-2</v>
      </c>
      <c r="C17" s="532">
        <v>293124.98738696851</v>
      </c>
      <c r="D17" s="533">
        <v>294936.21014536713</v>
      </c>
      <c r="E17" s="532">
        <v>335110.2730519289</v>
      </c>
      <c r="F17" s="533">
        <v>321521.05289149465</v>
      </c>
      <c r="G17" s="532">
        <v>343159.88288822037</v>
      </c>
      <c r="H17" s="532">
        <v>329688.44742433471</v>
      </c>
      <c r="I17" s="532">
        <v>341784.52526318911</v>
      </c>
      <c r="J17" s="533">
        <v>339263.27644672315</v>
      </c>
      <c r="K17" s="532">
        <v>323667.23609771137</v>
      </c>
      <c r="L17" s="533">
        <v>340727.59923732886</v>
      </c>
      <c r="M17" s="532">
        <v>328161.20602745103</v>
      </c>
      <c r="N17" s="532">
        <v>241551.54063928241</v>
      </c>
      <c r="O17" s="535">
        <f t="shared" si="0"/>
        <v>3832696.2374999993</v>
      </c>
    </row>
    <row r="18" spans="1:15" x14ac:dyDescent="0.2">
      <c r="A18" s="505" t="s">
        <v>151</v>
      </c>
      <c r="B18" s="517">
        <v>2.58E-2</v>
      </c>
      <c r="C18" s="532">
        <v>149754.94405116409</v>
      </c>
      <c r="D18" s="533">
        <v>150680.28161882123</v>
      </c>
      <c r="E18" s="532">
        <v>171204.85237108447</v>
      </c>
      <c r="F18" s="533">
        <v>164262.24088317942</v>
      </c>
      <c r="G18" s="532">
        <v>175317.32630724923</v>
      </c>
      <c r="H18" s="532">
        <v>168434.88997124427</v>
      </c>
      <c r="I18" s="532">
        <v>174614.66835228275</v>
      </c>
      <c r="J18" s="533">
        <v>173326.58479852389</v>
      </c>
      <c r="K18" s="532">
        <v>165358.70675883075</v>
      </c>
      <c r="L18" s="533">
        <v>174074.69426382345</v>
      </c>
      <c r="M18" s="532">
        <v>167654.63595065812</v>
      </c>
      <c r="N18" s="532">
        <v>123406.52967313833</v>
      </c>
      <c r="O18" s="535">
        <f t="shared" si="0"/>
        <v>1958090.3549999997</v>
      </c>
    </row>
    <row r="19" spans="1:15" x14ac:dyDescent="0.2">
      <c r="A19" s="505" t="s">
        <v>152</v>
      </c>
      <c r="B19" s="517">
        <v>3.39E-2</v>
      </c>
      <c r="C19" s="532">
        <v>196771.03113699469</v>
      </c>
      <c r="D19" s="533">
        <v>197986.88166193952</v>
      </c>
      <c r="E19" s="532">
        <v>224955.21299921564</v>
      </c>
      <c r="F19" s="533">
        <v>215832.94441627062</v>
      </c>
      <c r="G19" s="532">
        <v>230358.81247347861</v>
      </c>
      <c r="H19" s="532">
        <v>221315.61124128607</v>
      </c>
      <c r="I19" s="532">
        <v>229435.55260241803</v>
      </c>
      <c r="J19" s="533">
        <v>227743.07072364184</v>
      </c>
      <c r="K19" s="532">
        <v>217273.64957846366</v>
      </c>
      <c r="L19" s="533">
        <v>228726.05176525636</v>
      </c>
      <c r="M19" s="532">
        <v>220290.39374912056</v>
      </c>
      <c r="N19" s="532">
        <v>162150.44015191431</v>
      </c>
      <c r="O19" s="535">
        <f t="shared" si="0"/>
        <v>2572839.6525000003</v>
      </c>
    </row>
    <row r="20" spans="1:15" x14ac:dyDescent="0.2">
      <c r="A20" s="505" t="s">
        <v>261</v>
      </c>
      <c r="B20" s="517">
        <v>8.2000000000000007E-3</v>
      </c>
      <c r="C20" s="532">
        <v>47596.532605408749</v>
      </c>
      <c r="D20" s="533">
        <v>47890.632142416056</v>
      </c>
      <c r="E20" s="532">
        <v>54413.945327243906</v>
      </c>
      <c r="F20" s="533">
        <v>52207.378885351602</v>
      </c>
      <c r="G20" s="532">
        <v>55721.010686800146</v>
      </c>
      <c r="H20" s="532">
        <v>53533.569680783061</v>
      </c>
      <c r="I20" s="532">
        <v>55497.685290260415</v>
      </c>
      <c r="J20" s="533">
        <v>55088.294393329299</v>
      </c>
      <c r="K20" s="532">
        <v>52555.868039628382</v>
      </c>
      <c r="L20" s="533">
        <v>55326.065618734581</v>
      </c>
      <c r="M20" s="532">
        <v>53285.581968813829</v>
      </c>
      <c r="N20" s="532">
        <v>39222.230361230017</v>
      </c>
      <c r="O20" s="535">
        <f t="shared" si="0"/>
        <v>622338.79499999993</v>
      </c>
    </row>
    <row r="21" spans="1:15" x14ac:dyDescent="0.2">
      <c r="A21" s="505" t="s">
        <v>262</v>
      </c>
      <c r="B21" s="517">
        <v>2.2700000000000001E-2</v>
      </c>
      <c r="C21" s="532">
        <v>131761.13294424128</v>
      </c>
      <c r="D21" s="533">
        <v>132575.28654059078</v>
      </c>
      <c r="E21" s="532">
        <v>150633.72669858983</v>
      </c>
      <c r="F21" s="533">
        <v>144525.30496310748</v>
      </c>
      <c r="G21" s="532">
        <v>154252.06616955649</v>
      </c>
      <c r="H21" s="532">
        <v>148196.5892382653</v>
      </c>
      <c r="I21" s="532">
        <v>153633.83610840383</v>
      </c>
      <c r="J21" s="533">
        <v>152500.52228397259</v>
      </c>
      <c r="K21" s="532">
        <v>145490.02493897124</v>
      </c>
      <c r="L21" s="533">
        <v>153158.74262747256</v>
      </c>
      <c r="M21" s="532">
        <v>147510.08666976512</v>
      </c>
      <c r="N21" s="532">
        <v>108578.61331706357</v>
      </c>
      <c r="O21" s="535">
        <f t="shared" si="0"/>
        <v>1722815.9325000003</v>
      </c>
    </row>
    <row r="22" spans="1:15" x14ac:dyDescent="0.2">
      <c r="A22" s="505" t="s">
        <v>263</v>
      </c>
      <c r="B22" s="517">
        <v>8.5900000000000004E-2</v>
      </c>
      <c r="C22" s="532">
        <v>498602.70131763554</v>
      </c>
      <c r="D22" s="533">
        <v>501683.57329677301</v>
      </c>
      <c r="E22" s="532">
        <v>570019.25653783546</v>
      </c>
      <c r="F22" s="533">
        <v>546904.12759167107</v>
      </c>
      <c r="G22" s="532">
        <v>583711.56317026005</v>
      </c>
      <c r="H22" s="532">
        <v>560796.78482673969</v>
      </c>
      <c r="I22" s="532">
        <v>581372.09346748411</v>
      </c>
      <c r="J22" s="533">
        <v>577083.47419353493</v>
      </c>
      <c r="K22" s="532">
        <v>550554.763976107</v>
      </c>
      <c r="L22" s="533">
        <v>579574.27276210987</v>
      </c>
      <c r="M22" s="532">
        <v>558198.9623318424</v>
      </c>
      <c r="N22" s="532">
        <v>410876.77902800712</v>
      </c>
      <c r="O22" s="535">
        <f t="shared" si="0"/>
        <v>6519378.3525</v>
      </c>
    </row>
    <row r="23" spans="1:15" x14ac:dyDescent="0.2">
      <c r="A23" s="505" t="s">
        <v>156</v>
      </c>
      <c r="B23" s="517">
        <v>4.5499999999999999E-2</v>
      </c>
      <c r="C23" s="532">
        <v>264102.71140806068</v>
      </c>
      <c r="D23" s="533">
        <v>265734.6051804793</v>
      </c>
      <c r="E23" s="532">
        <v>301931.03809629235</v>
      </c>
      <c r="F23" s="533">
        <v>289687.28527847532</v>
      </c>
      <c r="G23" s="532">
        <v>309183.65685968369</v>
      </c>
      <c r="H23" s="532">
        <v>297046.02688727184</v>
      </c>
      <c r="I23" s="532">
        <v>307944.47325693275</v>
      </c>
      <c r="J23" s="533">
        <v>305672.85303615645</v>
      </c>
      <c r="K23" s="532">
        <v>291620.97509793792</v>
      </c>
      <c r="L23" s="533">
        <v>306992.19337224675</v>
      </c>
      <c r="M23" s="532">
        <v>295669.99750988156</v>
      </c>
      <c r="N23" s="532">
        <v>217635.54651658115</v>
      </c>
      <c r="O23" s="535">
        <f t="shared" si="0"/>
        <v>3453221.3624999993</v>
      </c>
    </row>
    <row r="24" spans="1:15" x14ac:dyDescent="0.2">
      <c r="A24" s="505" t="s">
        <v>157</v>
      </c>
      <c r="B24" s="517">
        <v>0.29020000000000001</v>
      </c>
      <c r="C24" s="532">
        <v>1684452.897815807</v>
      </c>
      <c r="D24" s="533">
        <v>1694861.1521620899</v>
      </c>
      <c r="E24" s="532">
        <v>1925722.796825144</v>
      </c>
      <c r="F24" s="533">
        <v>1847631.8722596385</v>
      </c>
      <c r="G24" s="532">
        <v>1971980.1586962685</v>
      </c>
      <c r="H24" s="532">
        <v>1894566.0879711274</v>
      </c>
      <c r="I24" s="532">
        <v>1964076.6184431184</v>
      </c>
      <c r="J24" s="533">
        <v>1949588.1747492882</v>
      </c>
      <c r="K24" s="532">
        <v>1859964.9884268483</v>
      </c>
      <c r="L24" s="533">
        <v>1958002.9564093628</v>
      </c>
      <c r="M24" s="532">
        <v>1885789.7423597283</v>
      </c>
      <c r="N24" s="532">
        <v>1388084.2988815792</v>
      </c>
      <c r="O24" s="535">
        <f t="shared" si="0"/>
        <v>22024721.744999997</v>
      </c>
    </row>
    <row r="25" spans="1:15" x14ac:dyDescent="0.2">
      <c r="A25" s="505" t="s">
        <v>158</v>
      </c>
      <c r="B25" s="517">
        <v>2.7300000000000001E-2</v>
      </c>
      <c r="C25" s="532">
        <v>158461.62684483643</v>
      </c>
      <c r="D25" s="533">
        <v>159440.76310828759</v>
      </c>
      <c r="E25" s="532">
        <v>181158.62285777542</v>
      </c>
      <c r="F25" s="533">
        <v>173812.37116708522</v>
      </c>
      <c r="G25" s="532">
        <v>185510.19411581021</v>
      </c>
      <c r="H25" s="532">
        <v>178227.61613236312</v>
      </c>
      <c r="I25" s="532">
        <v>184766.68395415967</v>
      </c>
      <c r="J25" s="533">
        <v>183403.7118216939</v>
      </c>
      <c r="K25" s="532">
        <v>174972.58505876278</v>
      </c>
      <c r="L25" s="533">
        <v>184195.31602334807</v>
      </c>
      <c r="M25" s="532">
        <v>177401.99850592896</v>
      </c>
      <c r="N25" s="532">
        <v>130581.3279099487</v>
      </c>
      <c r="O25" s="535">
        <f t="shared" si="0"/>
        <v>2071932.8175000001</v>
      </c>
    </row>
    <row r="26" spans="1:15" ht="13.5" thickBot="1" x14ac:dyDescent="0.25">
      <c r="A26" s="505" t="s">
        <v>159</v>
      </c>
      <c r="B26" s="518">
        <v>3.8899999999999997E-2</v>
      </c>
      <c r="C26" s="532">
        <v>225793.30711590243</v>
      </c>
      <c r="D26" s="533">
        <v>227188.48662682733</v>
      </c>
      <c r="E26" s="532">
        <v>258134.44795485213</v>
      </c>
      <c r="F26" s="533">
        <v>247666.71202928989</v>
      </c>
      <c r="G26" s="532">
        <v>264335.03850201529</v>
      </c>
      <c r="H26" s="532">
        <v>253958.0317783489</v>
      </c>
      <c r="I26" s="538">
        <v>263275.60460867436</v>
      </c>
      <c r="J26" s="533">
        <v>261333.49413420848</v>
      </c>
      <c r="K26" s="532">
        <v>249319.91057823703</v>
      </c>
      <c r="L26" s="533">
        <v>262461.45763033844</v>
      </c>
      <c r="M26" s="532">
        <v>252781.60226668997</v>
      </c>
      <c r="N26" s="532">
        <v>186066.43427461552</v>
      </c>
      <c r="O26" s="535">
        <f t="shared" si="0"/>
        <v>2952314.5274999999</v>
      </c>
    </row>
    <row r="27" spans="1:15" ht="13.5" thickBot="1" x14ac:dyDescent="0.25">
      <c r="A27" s="510" t="s">
        <v>264</v>
      </c>
      <c r="B27" s="511">
        <f>SUM(B7:B26)</f>
        <v>1</v>
      </c>
      <c r="C27" s="540">
        <f>'X22.55 POE'!B74</f>
        <v>5804455.2000000002</v>
      </c>
      <c r="D27" s="540">
        <f>'X22.55 POE'!C74</f>
        <v>5840320.9900000002</v>
      </c>
      <c r="E27" s="540">
        <f>'X22.55 POE'!D74</f>
        <v>6635846.9900000002</v>
      </c>
      <c r="F27" s="540">
        <f>'X22.55 POE'!E74</f>
        <v>6366753.5199999996</v>
      </c>
      <c r="G27" s="540">
        <f>'X22.55 POE'!F74</f>
        <v>6795245.21</v>
      </c>
      <c r="H27" s="540">
        <f>'X22.55 POE'!G74</f>
        <v>6528484.1100000003</v>
      </c>
      <c r="I27" s="540">
        <f>'X22.55 POE'!H74</f>
        <v>6768010.4000000004</v>
      </c>
      <c r="J27" s="540">
        <f>'X22.55 POE'!I74</f>
        <v>6718084.6799999997</v>
      </c>
      <c r="K27" s="540">
        <f>'X22.55 POE'!J74</f>
        <v>6409252.2000000002</v>
      </c>
      <c r="L27" s="540">
        <f>'X22.55 POE'!K74</f>
        <v>6747081.1699999999</v>
      </c>
      <c r="M27" s="540">
        <f>'X22.55 POE'!L74</f>
        <v>6498241.7000000002</v>
      </c>
      <c r="N27" s="540">
        <f>'X22.55 POE'!M74</f>
        <v>4783198.82</v>
      </c>
      <c r="O27" s="540">
        <f>SUM(C27:N27)</f>
        <v>75894974.99000001</v>
      </c>
    </row>
    <row r="28" spans="1:15" x14ac:dyDescent="0.2">
      <c r="A28" s="514" t="s">
        <v>265</v>
      </c>
      <c r="O28" s="509"/>
    </row>
    <row r="30" spans="1:15" x14ac:dyDescent="0.2">
      <c r="C30" s="509">
        <f>'X22.55 POE'!B73</f>
        <v>7366961.5447643138</v>
      </c>
      <c r="D30" s="509">
        <f>'X22.55 POE'!C73</f>
        <v>5195077.8374504494</v>
      </c>
      <c r="E30" s="509">
        <f>'X22.55 POE'!D73</f>
        <v>5388273.7025148217</v>
      </c>
      <c r="F30" s="509">
        <f>'X22.55 POE'!E73</f>
        <v>5048448.194836786</v>
      </c>
      <c r="G30" s="509">
        <f>'X22.55 POE'!F73</f>
        <v>5731831.586737236</v>
      </c>
      <c r="H30" s="509">
        <f>'X22.55 POE'!G73</f>
        <v>5627680.0577993905</v>
      </c>
      <c r="I30" s="509">
        <f>'X22.55 POE'!H73</f>
        <v>5767733.6198019423</v>
      </c>
      <c r="J30" s="509">
        <f>'X22.55 POE'!I73</f>
        <v>5631590.1209775778</v>
      </c>
      <c r="K30" s="509">
        <f>'X22.55 POE'!J73</f>
        <v>5897656.5309371101</v>
      </c>
      <c r="L30" s="509">
        <f>'X22.55 POE'!K73</f>
        <v>5871174.282550253</v>
      </c>
      <c r="M30" s="509">
        <f>'X22.55 POE'!L73</f>
        <v>5540946.3658381719</v>
      </c>
      <c r="N30" s="509">
        <f>'X22.55 POE'!M73</f>
        <v>5748893.9307919471</v>
      </c>
      <c r="O30" s="509">
        <f>SUM(C30:N30)</f>
        <v>68816267.775000006</v>
      </c>
    </row>
    <row r="31" spans="1:15" x14ac:dyDescent="0.2">
      <c r="C31" s="509">
        <f t="shared" ref="C31:O31" si="1">C30-C27</f>
        <v>1562506.3447643137</v>
      </c>
      <c r="D31" s="509">
        <f t="shared" si="1"/>
        <v>-645243.15254955087</v>
      </c>
      <c r="E31" s="509">
        <f t="shared" si="1"/>
        <v>-1247573.2874851786</v>
      </c>
      <c r="F31" s="509">
        <f t="shared" si="1"/>
        <v>-1318305.3251632135</v>
      </c>
      <c r="G31" s="509">
        <f t="shared" si="1"/>
        <v>-1063413.623262764</v>
      </c>
      <c r="H31" s="509">
        <f t="shared" si="1"/>
        <v>-900804.05220060982</v>
      </c>
      <c r="I31" s="509">
        <f t="shared" si="1"/>
        <v>-1000276.7801980581</v>
      </c>
      <c r="J31" s="509">
        <f t="shared" si="1"/>
        <v>-1086494.5590224219</v>
      </c>
      <c r="K31" s="509">
        <f t="shared" si="1"/>
        <v>-511595.66906289011</v>
      </c>
      <c r="L31" s="509">
        <f t="shared" si="1"/>
        <v>-875906.88744974695</v>
      </c>
      <c r="M31" s="509">
        <f t="shared" si="1"/>
        <v>-957295.33416182827</v>
      </c>
      <c r="N31" s="509">
        <f t="shared" si="1"/>
        <v>965695.11079194676</v>
      </c>
      <c r="O31" s="509">
        <f t="shared" si="1"/>
        <v>-7078707.2150000036</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T39"/>
  <sheetViews>
    <sheetView workbookViewId="0">
      <selection sqref="A1:O1"/>
    </sheetView>
  </sheetViews>
  <sheetFormatPr baseColWidth="10" defaultRowHeight="12.75" x14ac:dyDescent="0.2"/>
  <cols>
    <col min="1" max="1" width="16.42578125" style="500" bestFit="1" customWidth="1"/>
    <col min="2" max="2" width="9.140625" style="500" hidden="1" customWidth="1"/>
    <col min="3" max="10" width="9.7109375" style="500" customWidth="1"/>
    <col min="11" max="11" width="10.5703125" style="500" customWidth="1"/>
    <col min="12" max="14" width="9.7109375" style="500" customWidth="1"/>
    <col min="15" max="15" width="10.85546875" style="500" bestFit="1" customWidth="1"/>
    <col min="16" max="16" width="12.7109375" style="500" bestFit="1" customWidth="1"/>
    <col min="17" max="19" width="11.42578125" style="500"/>
    <col min="20" max="20" width="11.7109375" style="500" bestFit="1" customWidth="1"/>
    <col min="21" max="16384" width="11.42578125" style="500"/>
  </cols>
  <sheetData>
    <row r="1" spans="1:17" x14ac:dyDescent="0.2">
      <c r="A1" s="1193" t="s">
        <v>432</v>
      </c>
      <c r="B1" s="1193"/>
      <c r="C1" s="1193"/>
      <c r="D1" s="1193"/>
      <c r="E1" s="1193"/>
      <c r="F1" s="1193"/>
      <c r="G1" s="1193"/>
      <c r="H1" s="1193"/>
      <c r="I1" s="1193"/>
      <c r="J1" s="1193"/>
      <c r="K1" s="1193"/>
      <c r="L1" s="1193"/>
      <c r="M1" s="1193"/>
      <c r="N1" s="1193"/>
      <c r="O1" s="1193"/>
    </row>
    <row r="2" spans="1:17" ht="13.5" thickBot="1" x14ac:dyDescent="0.25">
      <c r="O2" s="639" t="s">
        <v>551</v>
      </c>
    </row>
    <row r="3" spans="1:17" ht="34.5" thickBot="1" x14ac:dyDescent="0.25">
      <c r="A3" s="773" t="s">
        <v>13</v>
      </c>
      <c r="B3" s="774" t="s">
        <v>257</v>
      </c>
      <c r="C3" s="773" t="s">
        <v>1</v>
      </c>
      <c r="D3" s="775" t="s">
        <v>2</v>
      </c>
      <c r="E3" s="773" t="s">
        <v>3</v>
      </c>
      <c r="F3" s="775" t="s">
        <v>4</v>
      </c>
      <c r="G3" s="773" t="s">
        <v>5</v>
      </c>
      <c r="H3" s="773" t="s">
        <v>6</v>
      </c>
      <c r="I3" s="773" t="s">
        <v>7</v>
      </c>
      <c r="J3" s="775" t="s">
        <v>8</v>
      </c>
      <c r="K3" s="773" t="s">
        <v>9</v>
      </c>
      <c r="L3" s="775" t="s">
        <v>10</v>
      </c>
      <c r="M3" s="773" t="s">
        <v>11</v>
      </c>
      <c r="N3" s="773" t="s">
        <v>12</v>
      </c>
      <c r="O3" s="776" t="s">
        <v>160</v>
      </c>
    </row>
    <row r="4" spans="1:17" x14ac:dyDescent="0.2">
      <c r="A4" s="505" t="s">
        <v>258</v>
      </c>
      <c r="B4" s="525"/>
      <c r="C4" s="507">
        <f>F.G.P.INCREMENTO!C7+'F.G.P. ESTIMACIONES 2014'!C7</f>
        <v>5789344.8896809183</v>
      </c>
      <c r="D4" s="507">
        <f>F.G.P.INCREMENTO!D7+'F.G.P. ESTIMACIONES 2014'!D7</f>
        <v>7830638.6839113664</v>
      </c>
      <c r="E4" s="507">
        <f>F.G.P.INCREMENTO!E7+'F.G.P. ESTIMACIONES 2014'!E7</f>
        <v>5837331.4735386847</v>
      </c>
      <c r="F4" s="507">
        <f>F.G.P.INCREMENTO!F7+'F.G.P. ESTIMACIONES 2014'!F7</f>
        <v>8392327.9177367482</v>
      </c>
      <c r="G4" s="507">
        <f>F.G.P.INCREMENTO!G7+'F.G.P. ESTIMACIONES 2014'!G7</f>
        <v>7021227.7366458457</v>
      </c>
      <c r="H4" s="507">
        <f>F.G.P.INCREMENTO!H7+'F.G.P. ESTIMACIONES 2014'!H7</f>
        <v>7177388.9330651034</v>
      </c>
      <c r="I4" s="507">
        <f>F.G.P.INCREMENTO!I7+'F.G.P. ESTIMACIONES 2014'!I7</f>
        <v>6371808.2501375983</v>
      </c>
      <c r="J4" s="507">
        <f>F.G.P.INCREMENTO!J7+'F.G.P. ESTIMACIONES 2014'!J7</f>
        <v>6675204.4610508671</v>
      </c>
      <c r="K4" s="507">
        <f>F.G.P.INCREMENTO!K7+'F.G.P. ESTIMACIONES 2014'!K7</f>
        <v>6174927.303914804</v>
      </c>
      <c r="L4" s="507">
        <f>F.G.P.INCREMENTO!L7+'F.G.P. ESTIMACIONES 2014'!L7</f>
        <v>5301555.0508431494</v>
      </c>
      <c r="M4" s="507">
        <f>F.G.P.INCREMENTO!M7+'F.G.P. ESTIMACIONES 2014'!M7</f>
        <v>6009182.0677390173</v>
      </c>
      <c r="N4" s="507">
        <f>F.G.P.INCREMENTO!N7+'F.G.P. ESTIMACIONES 2014'!N7</f>
        <v>6194172.1432546228</v>
      </c>
      <c r="O4" s="508">
        <f>SUM(C4:N4)</f>
        <v>78775108.911518738</v>
      </c>
      <c r="P4" s="509"/>
      <c r="Q4" s="509"/>
    </row>
    <row r="5" spans="1:17" x14ac:dyDescent="0.2">
      <c r="A5" s="505" t="s">
        <v>141</v>
      </c>
      <c r="B5" s="525"/>
      <c r="C5" s="507">
        <f>F.G.P.INCREMENTO!C8+'F.G.P. ESTIMACIONES 2014'!C8</f>
        <v>4328525.2301560184</v>
      </c>
      <c r="D5" s="507">
        <f>F.G.P.INCREMENTO!D8+'F.G.P. ESTIMACIONES 2014'!D8</f>
        <v>5921331.7347584572</v>
      </c>
      <c r="E5" s="507">
        <f>F.G.P.INCREMENTO!E8+'F.G.P. ESTIMACIONES 2014'!E8</f>
        <v>4376485.422472544</v>
      </c>
      <c r="F5" s="507">
        <f>F.G.P.INCREMENTO!F8+'F.G.P. ESTIMACIONES 2014'!F8</f>
        <v>6414369.7173314011</v>
      </c>
      <c r="G5" s="507">
        <f>F.G.P.INCREMENTO!G8+'F.G.P. ESTIMACIONES 2014'!G8</f>
        <v>5362306.0588500639</v>
      </c>
      <c r="H5" s="507">
        <f>F.G.P.INCREMENTO!H8+'F.G.P. ESTIMACIONES 2014'!H8</f>
        <v>5502844.5600361004</v>
      </c>
      <c r="I5" s="507">
        <f>F.G.P.INCREMENTO!I8+'F.G.P. ESTIMACIONES 2014'!I8</f>
        <v>4767749.4163736701</v>
      </c>
      <c r="J5" s="507">
        <f>F.G.P.INCREMENTO!J8+'F.G.P. ESTIMACIONES 2014'!J8</f>
        <v>5070958.0352605991</v>
      </c>
      <c r="K5" s="507">
        <f>F.G.P.INCREMENTO!K8+'F.G.P. ESTIMACIONES 2014'!K8</f>
        <v>4624362.0937134288</v>
      </c>
      <c r="L5" s="507">
        <f>F.G.P.INCREMENTO!L8+'F.G.P. ESTIMACIONES 2014'!L8</f>
        <v>3857336.0061872206</v>
      </c>
      <c r="M5" s="507">
        <f>F.G.P.INCREMENTO!M8+'F.G.P. ESTIMACIONES 2014'!M8</f>
        <v>4530059.2958121877</v>
      </c>
      <c r="N5" s="507">
        <f>F.G.P.INCREMENTO!N8+'F.G.P. ESTIMACIONES 2014'!N8</f>
        <v>4637913.6169460528</v>
      </c>
      <c r="O5" s="508">
        <f t="shared" ref="O5:O23" si="0">SUM(C5:N5)</f>
        <v>59394241.187897757</v>
      </c>
      <c r="P5" s="509"/>
      <c r="Q5" s="509"/>
    </row>
    <row r="6" spans="1:17" x14ac:dyDescent="0.2">
      <c r="A6" s="505" t="s">
        <v>142</v>
      </c>
      <c r="B6" s="525"/>
      <c r="C6" s="507">
        <f>F.G.P.INCREMENTO!C9+'F.G.P. ESTIMACIONES 2014'!C9</f>
        <v>4032869.8347958494</v>
      </c>
      <c r="D6" s="507">
        <f>F.G.P.INCREMENTO!D9+'F.G.P. ESTIMACIONES 2014'!D9</f>
        <v>5508799.7361481991</v>
      </c>
      <c r="E6" s="507">
        <f>F.G.P.INCREMENTO!E9+'F.G.P. ESTIMACIONES 2014'!E9</f>
        <v>4076087.8441253398</v>
      </c>
      <c r="F6" s="507">
        <f>F.G.P.INCREMENTO!F9+'F.G.P. ESTIMACIONES 2014'!F9</f>
        <v>5959292.1438566335</v>
      </c>
      <c r="G6" s="507">
        <f>F.G.P.INCREMENTO!G9+'F.G.P. ESTIMACIONES 2014'!G9</f>
        <v>4982357.1277499534</v>
      </c>
      <c r="H6" s="507">
        <f>F.G.P.INCREMENTO!H9+'F.G.P. ESTIMACIONES 2014'!H9</f>
        <v>5110410.1180230612</v>
      </c>
      <c r="I6" s="507">
        <f>F.G.P.INCREMENTO!I9+'F.G.P. ESTIMACIONES 2014'!I9</f>
        <v>4441640.1951179719</v>
      </c>
      <c r="J6" s="507">
        <f>F.G.P.INCREMENTO!J9+'F.G.P. ESTIMACIONES 2014'!J9</f>
        <v>4714870.1918177186</v>
      </c>
      <c r="K6" s="507">
        <f>F.G.P.INCREMENTO!K9+'F.G.P. ESTIMACIONES 2014'!K9</f>
        <v>4307583.8114256263</v>
      </c>
      <c r="L6" s="507">
        <f>F.G.P.INCREMENTO!L9+'F.G.P. ESTIMACIONES 2014'!L9</f>
        <v>3606787.8061426412</v>
      </c>
      <c r="M6" s="507">
        <f>F.G.P.INCREMENTO!M9+'F.G.P. ESTIMACIONES 2014'!M9</f>
        <v>4216127.4765244359</v>
      </c>
      <c r="N6" s="507">
        <f>F.G.P.INCREMENTO!N9+'F.G.P. ESTIMACIONES 2014'!N9</f>
        <v>4320311.3275911547</v>
      </c>
      <c r="O6" s="508">
        <f t="shared" si="0"/>
        <v>55277137.613318577</v>
      </c>
      <c r="P6" s="509"/>
      <c r="Q6" s="509"/>
    </row>
    <row r="7" spans="1:17" x14ac:dyDescent="0.2">
      <c r="A7" s="312" t="s">
        <v>349</v>
      </c>
      <c r="B7" s="525"/>
      <c r="C7" s="507">
        <f>F.G.P.INCREMENTO!C10+'F.G.P. ESTIMACIONES 2014'!C10</f>
        <v>11136657.644856542</v>
      </c>
      <c r="D7" s="507">
        <f>F.G.P.INCREMENTO!D10+'F.G.P. ESTIMACIONES 2014'!D10</f>
        <v>16232559.184663389</v>
      </c>
      <c r="E7" s="507">
        <f>F.G.P.INCREMENTO!E10+'F.G.P. ESTIMACIONES 2014'!E10</f>
        <v>11441099.103876647</v>
      </c>
      <c r="F7" s="507">
        <f>F.G.P.INCREMENTO!F10+'F.G.P. ESTIMACIONES 2014'!F10</f>
        <v>18596153.209201664</v>
      </c>
      <c r="G7" s="507">
        <f>F.G.P.INCREMENTO!G10+'F.G.P. ESTIMACIONES 2014'!G10</f>
        <v>15485779.570562936</v>
      </c>
      <c r="H7" s="507">
        <f>F.G.P.INCREMENTO!H10+'F.G.P. ESTIMACIONES 2014'!H10</f>
        <v>16203723.236727206</v>
      </c>
      <c r="I7" s="507">
        <f>F.G.P.INCREMENTO!I10+'F.G.P. ESTIMACIONES 2014'!I10</f>
        <v>12322658.552477036</v>
      </c>
      <c r="J7" s="507">
        <f>F.G.P.INCREMENTO!J10+'F.G.P. ESTIMACIONES 2014'!J10</f>
        <v>14247132.252909506</v>
      </c>
      <c r="K7" s="507">
        <f>F.G.P.INCREMENTO!K10+'F.G.P. ESTIMACIONES 2014'!K10</f>
        <v>12010908.969437132</v>
      </c>
      <c r="L7" s="507">
        <f>F.G.P.INCREMENTO!L10+'F.G.P. ESTIMACIONES 2014'!L10</f>
        <v>8328728.8597917985</v>
      </c>
      <c r="M7" s="507">
        <f>F.G.P.INCREMENTO!M10+'F.G.P. ESTIMACIONES 2014'!M10</f>
        <v>12212134.03574278</v>
      </c>
      <c r="N7" s="507">
        <f>F.G.P.INCREMENTO!N10+'F.G.P. ESTIMACIONES 2014'!N10</f>
        <v>12033228.470588813</v>
      </c>
      <c r="O7" s="508">
        <f t="shared" si="0"/>
        <v>160250763.09083545</v>
      </c>
      <c r="P7" s="509"/>
      <c r="Q7" s="509"/>
    </row>
    <row r="8" spans="1:17" x14ac:dyDescent="0.2">
      <c r="A8" s="505" t="s">
        <v>144</v>
      </c>
      <c r="B8" s="525"/>
      <c r="C8" s="507">
        <f>F.G.P.INCREMENTO!C11+'F.G.P. ESTIMACIONES 2014'!C11</f>
        <v>8337275.4140272159</v>
      </c>
      <c r="D8" s="507">
        <f>F.G.P.INCREMENTO!D11+'F.G.P. ESTIMACIONES 2014'!D11</f>
        <v>11438299.516049489</v>
      </c>
      <c r="E8" s="507">
        <f>F.G.P.INCREMENTO!E11+'F.G.P. ESTIMACIONES 2014'!E11</f>
        <v>8435654.9390761256</v>
      </c>
      <c r="F8" s="507">
        <f>F.G.P.INCREMENTO!F11+'F.G.P. ESTIMACIONES 2014'!F11</f>
        <v>12424256.937555021</v>
      </c>
      <c r="G8" s="507">
        <f>F.G.P.INCREMENTO!G11+'F.G.P. ESTIMACIONES 2014'!G11</f>
        <v>10384472.561566424</v>
      </c>
      <c r="H8" s="507">
        <f>F.G.P.INCREMENTO!H11+'F.G.P. ESTIMACIONES 2014'!H11</f>
        <v>10666981.491592946</v>
      </c>
      <c r="I8" s="507">
        <f>F.G.P.INCREMENTO!I11+'F.G.P. ESTIMACIONES 2014'!I11</f>
        <v>9185130.208269462</v>
      </c>
      <c r="J8" s="507">
        <f>F.G.P.INCREMENTO!J11+'F.G.P. ESTIMACIONES 2014'!J11</f>
        <v>9807086.6468791552</v>
      </c>
      <c r="K8" s="507">
        <f>F.G.P.INCREMENTO!K11+'F.G.P. ESTIMACIONES 2014'!K11</f>
        <v>8910843.6647125855</v>
      </c>
      <c r="L8" s="507">
        <f>F.G.P.INCREMENTO!L11+'F.G.P. ESTIMACIONES 2014'!L11</f>
        <v>7376806.7025877293</v>
      </c>
      <c r="M8" s="507">
        <f>F.G.P.INCREMENTO!M11+'F.G.P. ESTIMACIONES 2014'!M11</f>
        <v>8743919.856751496</v>
      </c>
      <c r="N8" s="507">
        <f>F.G.P.INCREMENTO!N11+'F.G.P. ESTIMACIONES 2014'!N11</f>
        <v>8936529.6189293712</v>
      </c>
      <c r="O8" s="508">
        <f t="shared" si="0"/>
        <v>114647257.557997</v>
      </c>
      <c r="P8" s="509"/>
      <c r="Q8" s="509"/>
    </row>
    <row r="9" spans="1:17" x14ac:dyDescent="0.2">
      <c r="A9" s="505" t="s">
        <v>260</v>
      </c>
      <c r="B9" s="525"/>
      <c r="C9" s="507">
        <f>F.G.P.INCREMENTO!C12+'F.G.P. ESTIMACIONES 2014'!C12</f>
        <v>5512659.2616247628</v>
      </c>
      <c r="D9" s="507">
        <f>F.G.P.INCREMENTO!D12+'F.G.P. ESTIMACIONES 2014'!D12</f>
        <v>8004441.9656165438</v>
      </c>
      <c r="E9" s="507">
        <f>F.G.P.INCREMENTO!E12+'F.G.P. ESTIMACIONES 2014'!E12</f>
        <v>5657788.950852327</v>
      </c>
      <c r="F9" s="507">
        <f>F.G.P.INCREMENTO!F12+'F.G.P. ESTIMACIONES 2014'!F12</f>
        <v>9140738.0280377343</v>
      </c>
      <c r="G9" s="507">
        <f>F.G.P.INCREMENTO!G12+'F.G.P. ESTIMACIONES 2014'!G12</f>
        <v>7613513.4758788729</v>
      </c>
      <c r="H9" s="507">
        <f>F.G.P.INCREMENTO!H12+'F.G.P. ESTIMACIONES 2014'!H12</f>
        <v>7957934.4769704454</v>
      </c>
      <c r="I9" s="507">
        <f>F.G.P.INCREMENTO!I12+'F.G.P. ESTIMACIONES 2014'!I12</f>
        <v>6098010.3402147153</v>
      </c>
      <c r="J9" s="507">
        <f>F.G.P.INCREMENTO!J12+'F.G.P. ESTIMACIONES 2014'!J12</f>
        <v>7015425.3107982855</v>
      </c>
      <c r="K9" s="507">
        <f>F.G.P.INCREMENTO!K12+'F.G.P. ESTIMACIONES 2014'!K12</f>
        <v>5941935.4564705063</v>
      </c>
      <c r="L9" s="507">
        <f>F.G.P.INCREMENTO!L12+'F.G.P. ESTIMACIONES 2014'!L12</f>
        <v>4171814.3778782571</v>
      </c>
      <c r="M9" s="507">
        <f>F.G.P.INCREMENTO!M12+'F.G.P. ESTIMACIONES 2014'!M12</f>
        <v>6027888.7162448913</v>
      </c>
      <c r="N9" s="507">
        <f>F.G.P.INCREMENTO!N12+'F.G.P. ESTIMACIONES 2014'!N12</f>
        <v>5953369.5837298129</v>
      </c>
      <c r="O9" s="508">
        <f t="shared" si="0"/>
        <v>79095519.944317162</v>
      </c>
      <c r="P9" s="509"/>
      <c r="Q9" s="509"/>
    </row>
    <row r="10" spans="1:17" x14ac:dyDescent="0.2">
      <c r="A10" s="505" t="s">
        <v>146</v>
      </c>
      <c r="B10" s="525"/>
      <c r="C10" s="507">
        <f>F.G.P.INCREMENTO!C13+'F.G.P. ESTIMACIONES 2014'!C13</f>
        <v>3429278.2946167067</v>
      </c>
      <c r="D10" s="507">
        <f>F.G.P.INCREMENTO!D13+'F.G.P. ESTIMACIONES 2014'!D13</f>
        <v>4811334.9533362854</v>
      </c>
      <c r="E10" s="507">
        <f>F.G.P.INCREMENTO!E13+'F.G.P. ESTIMACIONES 2014'!E13</f>
        <v>3489075.3270028797</v>
      </c>
      <c r="F10" s="507">
        <f>F.G.P.INCREMENTO!F13+'F.G.P. ESTIMACIONES 2014'!F13</f>
        <v>5333807.3411494903</v>
      </c>
      <c r="G10" s="507">
        <f>F.G.P.INCREMENTO!G13+'F.G.P. ESTIMACIONES 2014'!G13</f>
        <v>4451713.6932856822</v>
      </c>
      <c r="H10" s="507">
        <f>F.G.P.INCREMENTO!H13+'F.G.P. ESTIMACIONES 2014'!H13</f>
        <v>4605965.9206899386</v>
      </c>
      <c r="I10" s="507">
        <f>F.G.P.INCREMENTO!I13+'F.G.P. ESTIMACIONES 2014'!I13</f>
        <v>3783990.2356881509</v>
      </c>
      <c r="J10" s="507">
        <f>F.G.P.INCREMENTO!J13+'F.G.P. ESTIMACIONES 2014'!J13</f>
        <v>4162004.4314716971</v>
      </c>
      <c r="K10" s="507">
        <f>F.G.P.INCREMENTO!K13+'F.G.P. ESTIMACIONES 2014'!K13</f>
        <v>3677274.9214605023</v>
      </c>
      <c r="L10" s="507">
        <f>F.G.P.INCREMENTO!L13+'F.G.P. ESTIMACIONES 2014'!L13</f>
        <v>2863842.7486797748</v>
      </c>
      <c r="M10" s="507">
        <f>F.G.P.INCREMENTO!M13+'F.G.P. ESTIMACIONES 2014'!M13</f>
        <v>3656009.3095641462</v>
      </c>
      <c r="N10" s="507">
        <f>F.G.P.INCREMENTO!N13+'F.G.P. ESTIMACIONES 2014'!N13</f>
        <v>3686500.3504034169</v>
      </c>
      <c r="O10" s="508">
        <f t="shared" si="0"/>
        <v>47950797.527348667</v>
      </c>
      <c r="P10" s="509"/>
      <c r="Q10" s="509"/>
    </row>
    <row r="11" spans="1:17" x14ac:dyDescent="0.2">
      <c r="A11" s="505" t="s">
        <v>147</v>
      </c>
      <c r="B11" s="525"/>
      <c r="C11" s="507">
        <f>F.G.P.INCREMENTO!C14+'F.G.P. ESTIMACIONES 2014'!C14</f>
        <v>5224803.7086012438</v>
      </c>
      <c r="D11" s="507">
        <f>F.G.P.INCREMENTO!D14+'F.G.P. ESTIMACIONES 2014'!D14</f>
        <v>7097161.8877840601</v>
      </c>
      <c r="E11" s="507">
        <f>F.G.P.INCREMENTO!E14+'F.G.P. ESTIMACIONES 2014'!E14</f>
        <v>5273575.6219331734</v>
      </c>
      <c r="F11" s="507">
        <f>F.G.P.INCREMENTO!F14+'F.G.P. ESTIMACIONES 2014'!F14</f>
        <v>7637132.3282579631</v>
      </c>
      <c r="G11" s="507">
        <f>F.G.P.INCREMENTO!G14+'F.G.P. ESTIMACIONES 2014'!G14</f>
        <v>6387552.1325187087</v>
      </c>
      <c r="H11" s="507">
        <f>F.G.P.INCREMENTO!H14+'F.G.P. ESTIMACIONES 2014'!H14</f>
        <v>6539241.7159555573</v>
      </c>
      <c r="I11" s="507">
        <f>F.G.P.INCREMENTO!I14+'F.G.P. ESTIMACIONES 2014'!I14</f>
        <v>5752157.3730607638</v>
      </c>
      <c r="J11" s="507">
        <f>F.G.P.INCREMENTO!J14+'F.G.P. ESTIMACIONES 2014'!J14</f>
        <v>6060509.4699193565</v>
      </c>
      <c r="K11" s="507">
        <f>F.G.P.INCREMENTO!K14+'F.G.P. ESTIMACIONES 2014'!K14</f>
        <v>5576200.4945804514</v>
      </c>
      <c r="L11" s="507">
        <f>F.G.P.INCREMENTO!L14+'F.G.P. ESTIMACIONES 2014'!L14</f>
        <v>4736417.9975173213</v>
      </c>
      <c r="M11" s="507">
        <f>F.G.P.INCREMENTO!M14+'F.G.P. ESTIMACIONES 2014'!M14</f>
        <v>5440014.8590040561</v>
      </c>
      <c r="N11" s="507">
        <f>F.G.P.INCREMENTO!N14+'F.G.P. ESTIMACIONES 2014'!N14</f>
        <v>5593189.9927668506</v>
      </c>
      <c r="O11" s="508">
        <f t="shared" si="0"/>
        <v>71317957.581899494</v>
      </c>
      <c r="P11" s="509"/>
      <c r="Q11" s="509"/>
    </row>
    <row r="12" spans="1:17" x14ac:dyDescent="0.2">
      <c r="A12" s="505" t="s">
        <v>148</v>
      </c>
      <c r="B12" s="525"/>
      <c r="C12" s="507">
        <f>F.G.P.INCREMENTO!C15+'F.G.P. ESTIMACIONES 2014'!C15</f>
        <v>4634973.3874390796</v>
      </c>
      <c r="D12" s="507">
        <f>F.G.P.INCREMENTO!D15+'F.G.P. ESTIMACIONES 2014'!D15</f>
        <v>6294064.8108092202</v>
      </c>
      <c r="E12" s="507">
        <f>F.G.P.INCREMENTO!E15+'F.G.P. ESTIMACIONES 2014'!E15</f>
        <v>4677895.5136397053</v>
      </c>
      <c r="F12" s="507">
        <f>F.G.P.INCREMENTO!F15+'F.G.P. ESTIMACIONES 2014'!F15</f>
        <v>6770997.6150989328</v>
      </c>
      <c r="G12" s="507">
        <f>F.G.P.INCREMENTO!G15+'F.G.P. ESTIMACIONES 2014'!G15</f>
        <v>5663249.6542688422</v>
      </c>
      <c r="H12" s="507">
        <f>F.G.P.INCREMENTO!H15+'F.G.P. ESTIMACIONES 2014'!H15</f>
        <v>5797138.0198530136</v>
      </c>
      <c r="I12" s="507">
        <f>F.G.P.INCREMENTO!I15+'F.G.P. ESTIMACIONES 2014'!I15</f>
        <v>5102687.6081962772</v>
      </c>
      <c r="J12" s="507">
        <f>F.G.P.INCREMENTO!J15+'F.G.P. ESTIMACIONES 2014'!J15</f>
        <v>5374055.9484266033</v>
      </c>
      <c r="K12" s="507">
        <f>F.G.P.INCREMENTO!K15+'F.G.P. ESTIMACIONES 2014'!K15</f>
        <v>4946485.9901725873</v>
      </c>
      <c r="L12" s="507">
        <f>F.G.P.INCREMENTO!L15+'F.G.P. ESTIMACIONES 2014'!L15</f>
        <v>4204752.6996017154</v>
      </c>
      <c r="M12" s="507">
        <f>F.G.P.INCREMENTO!M15+'F.G.P. ESTIMACIONES 2014'!M15</f>
        <v>4824831.2962250207</v>
      </c>
      <c r="N12" s="507">
        <f>F.G.P.INCREMENTO!N15+'F.G.P. ESTIMACIONES 2014'!N15</f>
        <v>4961581.369306989</v>
      </c>
      <c r="O12" s="508">
        <f t="shared" si="0"/>
        <v>63252713.913037986</v>
      </c>
      <c r="P12" s="509"/>
      <c r="Q12" s="509"/>
    </row>
    <row r="13" spans="1:17" x14ac:dyDescent="0.2">
      <c r="A13" s="505" t="s">
        <v>149</v>
      </c>
      <c r="B13" s="525"/>
      <c r="C13" s="507">
        <f>F.G.P.INCREMENTO!C16+'F.G.P. ESTIMACIONES 2014'!C16</f>
        <v>3506877.4707338675</v>
      </c>
      <c r="D13" s="507">
        <f>F.G.P.INCREMENTO!D16+'F.G.P. ESTIMACIONES 2014'!D16</f>
        <v>4910249.4205148052</v>
      </c>
      <c r="E13" s="507">
        <f>F.G.P.INCREMENTO!E16+'F.G.P. ESTIMACIONES 2014'!E16</f>
        <v>3566220.7702485356</v>
      </c>
      <c r="F13" s="507">
        <f>F.G.P.INCREMENTO!F16+'F.G.P. ESTIMACIONES 2014'!F16</f>
        <v>5433615.6565589346</v>
      </c>
      <c r="G13" s="507">
        <f>F.G.P.INCREMENTO!G16+'F.G.P. ESTIMACIONES 2014'!G16</f>
        <v>4535589.2271255516</v>
      </c>
      <c r="H13" s="507">
        <f>F.G.P.INCREMENTO!H16+'F.G.P. ESTIMACIONES 2014'!H16</f>
        <v>4689775.4846396148</v>
      </c>
      <c r="I13" s="507">
        <f>F.G.P.INCREMENTO!I16+'F.G.P. ESTIMACIONES 2014'!I16</f>
        <v>3869057.6871324945</v>
      </c>
      <c r="J13" s="507">
        <f>F.G.P.INCREMENTO!J16+'F.G.P. ESTIMACIONES 2014'!J16</f>
        <v>4244205.0292316675</v>
      </c>
      <c r="K13" s="507">
        <f>F.G.P.INCREMENTO!K16+'F.G.P. ESTIMACIONES 2014'!K16</f>
        <v>3759357.0686185155</v>
      </c>
      <c r="L13" s="507">
        <f>F.G.P.INCREMENTO!L16+'F.G.P. ESTIMACIONES 2014'!L16</f>
        <v>2944571.3529160339</v>
      </c>
      <c r="M13" s="507">
        <f>F.G.P.INCREMENTO!M16+'F.G.P. ESTIMACIONES 2014'!M16</f>
        <v>3733180.6107352725</v>
      </c>
      <c r="N13" s="507">
        <f>F.G.P.INCREMENTO!N16+'F.G.P. ESTIMACIONES 2014'!N16</f>
        <v>3768916.4690976096</v>
      </c>
      <c r="O13" s="508">
        <f t="shared" si="0"/>
        <v>48961616.247552902</v>
      </c>
      <c r="P13" s="509"/>
      <c r="Q13" s="509"/>
    </row>
    <row r="14" spans="1:17" x14ac:dyDescent="0.2">
      <c r="A14" s="505" t="s">
        <v>150</v>
      </c>
      <c r="B14" s="525"/>
      <c r="C14" s="507">
        <f>F.G.P.INCREMENTO!C17+'F.G.P. ESTIMACIONES 2014'!C17</f>
        <v>5291815.6109404359</v>
      </c>
      <c r="D14" s="507">
        <f>F.G.P.INCREMENTO!D17+'F.G.P. ESTIMACIONES 2014'!D17</f>
        <v>7289671.3200926837</v>
      </c>
      <c r="E14" s="507">
        <f>F.G.P.INCREMENTO!E17+'F.G.P. ESTIMACIONES 2014'!E17</f>
        <v>5359625.9572579637</v>
      </c>
      <c r="F14" s="507">
        <f>F.G.P.INCREMENTO!F17+'F.G.P. ESTIMACIONES 2014'!F17</f>
        <v>7947939.4614507798</v>
      </c>
      <c r="G14" s="507">
        <f>F.G.P.INCREMENTO!G17+'F.G.P. ESTIMACIONES 2014'!G17</f>
        <v>6641288.596602113</v>
      </c>
      <c r="H14" s="507">
        <f>F.G.P.INCREMENTO!H17+'F.G.P. ESTIMACIONES 2014'!H17</f>
        <v>6831166.2324494515</v>
      </c>
      <c r="I14" s="507">
        <f>F.G.P.INCREMENTO!I17+'F.G.P. ESTIMACIONES 2014'!I17</f>
        <v>5831622.3801313415</v>
      </c>
      <c r="J14" s="507">
        <f>F.G.P.INCREMENTO!J17+'F.G.P. ESTIMACIONES 2014'!J17</f>
        <v>6260313.665913553</v>
      </c>
      <c r="K14" s="507">
        <f>F.G.P.INCREMENTO!K17+'F.G.P. ESTIMACIONES 2014'!K17</f>
        <v>5659222.5278154984</v>
      </c>
      <c r="L14" s="507">
        <f>F.G.P.INCREMENTO!L17+'F.G.P. ESTIMACIONES 2014'!L17</f>
        <v>4634886.8694303837</v>
      </c>
      <c r="M14" s="507">
        <f>F.G.P.INCREMENTO!M17+'F.G.P. ESTIMACIONES 2014'!M17</f>
        <v>5566431.025207649</v>
      </c>
      <c r="N14" s="507">
        <f>F.G.P.INCREMENTO!N17+'F.G.P. ESTIMACIONES 2014'!N17</f>
        <v>5675153.9130360996</v>
      </c>
      <c r="O14" s="508">
        <f t="shared" si="0"/>
        <v>72989137.560327947</v>
      </c>
      <c r="P14" s="509"/>
      <c r="Q14" s="509"/>
    </row>
    <row r="15" spans="1:17" x14ac:dyDescent="0.2">
      <c r="A15" s="505" t="s">
        <v>151</v>
      </c>
      <c r="B15" s="525"/>
      <c r="C15" s="507">
        <f>F.G.P.INCREMENTO!C18+'F.G.P. ESTIMACIONES 2014'!C18</f>
        <v>5132365.770263481</v>
      </c>
      <c r="D15" s="507">
        <f>F.G.P.INCREMENTO!D18+'F.G.P. ESTIMACIONES 2014'!D18</f>
        <v>6908008.7178456206</v>
      </c>
      <c r="E15" s="507">
        <f>F.G.P.INCREMENTO!E18+'F.G.P. ESTIMACIONES 2014'!E18</f>
        <v>5168737.3083750475</v>
      </c>
      <c r="F15" s="507">
        <f>F.G.P.INCREMENTO!F18+'F.G.P. ESTIMACIONES 2014'!F18</f>
        <v>7368640.2712937705</v>
      </c>
      <c r="G15" s="507">
        <f>F.G.P.INCREMENTO!G18+'F.G.P. ESTIMACIONES 2014'!G18</f>
        <v>6166885.865760671</v>
      </c>
      <c r="H15" s="507">
        <f>F.G.P.INCREMENTO!H18+'F.G.P. ESTIMACIONES 2014'!H18</f>
        <v>6293182.2222108711</v>
      </c>
      <c r="I15" s="507">
        <f>F.G.P.INCREMENTO!I18+'F.G.P. ESTIMACIONES 2014'!I18</f>
        <v>5646824.4449918345</v>
      </c>
      <c r="J15" s="507">
        <f>F.G.P.INCREMENTO!J18+'F.G.P. ESTIMACIONES 2014'!J18</f>
        <v>5876794.8647131743</v>
      </c>
      <c r="K15" s="507">
        <f>F.G.P.INCREMENTO!K18+'F.G.P. ESTIMACIONES 2014'!K18</f>
        <v>5470337.7000557054</v>
      </c>
      <c r="L15" s="507">
        <f>F.G.P.INCREMENTO!L18+'F.G.P. ESTIMACIONES 2014'!L18</f>
        <v>4754304.5200055568</v>
      </c>
      <c r="M15" s="507">
        <f>F.G.P.INCREMENTO!M18+'F.G.P. ESTIMACIONES 2014'!M18</f>
        <v>5308276.3094515093</v>
      </c>
      <c r="N15" s="507">
        <f>F.G.P.INCREMENTO!N18+'F.G.P. ESTIMACIONES 2014'!N18</f>
        <v>5487826.1673233528</v>
      </c>
      <c r="O15" s="508">
        <f t="shared" si="0"/>
        <v>69582184.162290588</v>
      </c>
      <c r="P15" s="509"/>
      <c r="Q15" s="509"/>
    </row>
    <row r="16" spans="1:17" x14ac:dyDescent="0.2">
      <c r="A16" s="505" t="s">
        <v>152</v>
      </c>
      <c r="B16" s="525"/>
      <c r="C16" s="507">
        <f>F.G.P.INCREMENTO!C19+'F.G.P. ESTIMACIONES 2014'!C19</f>
        <v>6919797.7539027035</v>
      </c>
      <c r="D16" s="507">
        <f>F.G.P.INCREMENTO!D19+'F.G.P. ESTIMACIONES 2014'!D19</f>
        <v>9257464.6512966771</v>
      </c>
      <c r="E16" s="507">
        <f>F.G.P.INCREMENTO!E19+'F.G.P. ESTIMACIONES 2014'!E19</f>
        <v>6958608.0275839688</v>
      </c>
      <c r="F16" s="507">
        <f>F.G.P.INCREMENTO!F19+'F.G.P. ESTIMACIONES 2014'!F19</f>
        <v>9816652.2139442582</v>
      </c>
      <c r="G16" s="507">
        <f>F.G.P.INCREMENTO!G19+'F.G.P. ESTIMACIONES 2014'!G19</f>
        <v>8219166.4411223121</v>
      </c>
      <c r="H16" s="507">
        <f>F.G.P.INCREMENTO!H19+'F.G.P. ESTIMACIONES 2014'!H19</f>
        <v>8369315.0961562041</v>
      </c>
      <c r="I16" s="507">
        <f>F.G.P.INCREMENTO!I19+'F.G.P. ESTIMACIONES 2014'!I19</f>
        <v>7610264.807704756</v>
      </c>
      <c r="J16" s="507">
        <f>F.G.P.INCREMENTO!J19+'F.G.P. ESTIMACIONES 2014'!J19</f>
        <v>7855675.4225336574</v>
      </c>
      <c r="K16" s="507">
        <f>F.G.P.INCREMENTO!K19+'F.G.P. ESTIMACIONES 2014'!K19</f>
        <v>7369084.0770641677</v>
      </c>
      <c r="L16" s="507">
        <f>F.G.P.INCREMENTO!L19+'F.G.P. ESTIMACIONES 2014'!L19</f>
        <v>6500215.4939211663</v>
      </c>
      <c r="M16" s="507">
        <f>F.G.P.INCREMENTO!M19+'F.G.P. ESTIMACIONES 2014'!M19</f>
        <v>7125506.641290132</v>
      </c>
      <c r="N16" s="507">
        <f>F.G.P.INCREMENTO!N19+'F.G.P. ESTIMACIONES 2014'!N19</f>
        <v>7393372.0141192693</v>
      </c>
      <c r="O16" s="508">
        <f t="shared" si="0"/>
        <v>93395122.64063926</v>
      </c>
      <c r="P16" s="509"/>
      <c r="Q16" s="509"/>
    </row>
    <row r="17" spans="1:20" x14ac:dyDescent="0.2">
      <c r="A17" s="505" t="s">
        <v>261</v>
      </c>
      <c r="B17" s="525"/>
      <c r="C17" s="507">
        <f>F.G.P.INCREMENTO!C20+'F.G.P. ESTIMACIONES 2014'!C20</f>
        <v>3839250.6953119072</v>
      </c>
      <c r="D17" s="507">
        <f>F.G.P.INCREMENTO!D20+'F.G.P. ESTIMACIONES 2014'!D20</f>
        <v>5269129.7006896734</v>
      </c>
      <c r="E17" s="507">
        <f>F.G.P.INCREMENTO!E20+'F.G.P. ESTIMACIONES 2014'!E20</f>
        <v>3884895.0696754437</v>
      </c>
      <c r="F17" s="507">
        <f>F.G.P.INCREMENTO!F20+'F.G.P. ESTIMACIONES 2014'!F20</f>
        <v>5725220.2334995922</v>
      </c>
      <c r="G17" s="507">
        <f>F.G.P.INCREMENTO!G20+'F.G.P. ESTIMACIONES 2014'!G20</f>
        <v>4785154.4084134903</v>
      </c>
      <c r="H17" s="507">
        <f>F.G.P.INCREMENTO!H20+'F.G.P. ESTIMACIONES 2014'!H20</f>
        <v>4915919.498521382</v>
      </c>
      <c r="I17" s="507">
        <f>F.G.P.INCREMENTO!I20+'F.G.P. ESTIMACIONES 2014'!I20</f>
        <v>4229786.734038014</v>
      </c>
      <c r="J17" s="507">
        <f>F.G.P.INCREMENTO!J20+'F.G.P. ESTIMACIONES 2014'!J20</f>
        <v>4518350.5589809036</v>
      </c>
      <c r="K17" s="507">
        <f>F.G.P.INCREMENTO!K20+'F.G.P. ESTIMACIONES 2014'!K20</f>
        <v>4103587.6919818092</v>
      </c>
      <c r="L17" s="507">
        <f>F.G.P.INCREMENTO!L20+'F.G.P. ESTIMACIONES 2014'!L20</f>
        <v>3393953.7271392019</v>
      </c>
      <c r="M17" s="507">
        <f>F.G.P.INCREMENTO!M20+'F.G.P. ESTIMACIONES 2014'!M20</f>
        <v>4027557.4601228982</v>
      </c>
      <c r="N17" s="507">
        <f>F.G.P.INCREMENTO!N20+'F.G.P. ESTIMACIONES 2014'!N20</f>
        <v>4115392.218094599</v>
      </c>
      <c r="O17" s="508">
        <f t="shared" si="0"/>
        <v>52808197.996468917</v>
      </c>
      <c r="P17" s="509"/>
      <c r="Q17" s="509"/>
    </row>
    <row r="18" spans="1:20" x14ac:dyDescent="0.2">
      <c r="A18" s="505" t="s">
        <v>262</v>
      </c>
      <c r="B18" s="525"/>
      <c r="C18" s="507">
        <f>F.G.P.INCREMENTO!C21+'F.G.P. ESTIMACIONES 2014'!C21</f>
        <v>4722798.7278104089</v>
      </c>
      <c r="D18" s="507">
        <f>F.G.P.INCREMENTO!D21+'F.G.P. ESTIMACIONES 2014'!D21</f>
        <v>6428314.8938037129</v>
      </c>
      <c r="E18" s="507">
        <f>F.G.P.INCREMENTO!E21+'F.G.P. ESTIMACIONES 2014'!E21</f>
        <v>4769253.480867275</v>
      </c>
      <c r="F18" s="507">
        <f>F.G.P.INCREMENTO!F21+'F.G.P. ESTIMACIONES 2014'!F21</f>
        <v>6930732.8888952825</v>
      </c>
      <c r="G18" s="507">
        <f>F.G.P.INCREMENTO!G21+'F.G.P. ESTIMACIONES 2014'!G21</f>
        <v>5795933.2788576437</v>
      </c>
      <c r="H18" s="507">
        <f>F.G.P.INCREMENTO!H21+'F.G.P. ESTIMACIONES 2014'!H21</f>
        <v>5937711.1163906567</v>
      </c>
      <c r="I18" s="507">
        <f>F.G.P.INCREMENTO!I21+'F.G.P. ESTIMACIONES 2014'!I21</f>
        <v>5200215.6302513555</v>
      </c>
      <c r="J18" s="507">
        <f>F.G.P.INCREMENTO!J21+'F.G.P. ESTIMACIONES 2014'!J21</f>
        <v>5493914.2675525965</v>
      </c>
      <c r="K18" s="507">
        <f>F.G.P.INCREMENTO!K21+'F.G.P. ESTIMACIONES 2014'!K21</f>
        <v>5041912.8562147394</v>
      </c>
      <c r="L18" s="507">
        <f>F.G.P.INCREMENTO!L21+'F.G.P. ESTIMACIONES 2014'!L21</f>
        <v>4260459.7434401996</v>
      </c>
      <c r="M18" s="507">
        <f>F.G.P.INCREMENTO!M21+'F.G.P. ESTIMACIONES 2014'!M21</f>
        <v>4924619.6513399323</v>
      </c>
      <c r="N18" s="507">
        <f>F.G.P.INCREMENTO!N21+'F.G.P. ESTIMACIONES 2014'!N21</f>
        <v>5057105.8194442671</v>
      </c>
      <c r="O18" s="508">
        <f t="shared" si="0"/>
        <v>64562972.354868069</v>
      </c>
      <c r="P18" s="509"/>
      <c r="Q18" s="509"/>
    </row>
    <row r="19" spans="1:20" x14ac:dyDescent="0.2">
      <c r="A19" s="505" t="s">
        <v>263</v>
      </c>
      <c r="B19" s="525"/>
      <c r="C19" s="507">
        <f>F.G.P.INCREMENTO!C22+'F.G.P. ESTIMACIONES 2014'!C22</f>
        <v>12416242.449613124</v>
      </c>
      <c r="D19" s="507">
        <f>F.G.P.INCREMENTO!D22+'F.G.P. ESTIMACIONES 2014'!D22</f>
        <v>16631930.690207578</v>
      </c>
      <c r="E19" s="507">
        <f>F.G.P.INCREMENTO!E22+'F.G.P. ESTIMACIONES 2014'!E22</f>
        <v>12489725.733159442</v>
      </c>
      <c r="F19" s="507">
        <f>F.G.P.INCREMENTO!F22+'F.G.P. ESTIMACIONES 2014'!F22</f>
        <v>17658546.206422418</v>
      </c>
      <c r="G19" s="507">
        <f>F.G.P.INCREMENTO!G22+'F.G.P. ESTIMACIONES 2014'!G22</f>
        <v>14783593.632510521</v>
      </c>
      <c r="H19" s="507">
        <f>F.G.P.INCREMENTO!H22+'F.G.P. ESTIMACIONES 2014'!H22</f>
        <v>15060576.077632252</v>
      </c>
      <c r="I19" s="507">
        <f>F.G.P.INCREMENTO!I22+'F.G.P. ESTIMACIONES 2014'!I22</f>
        <v>13656340.702428872</v>
      </c>
      <c r="J19" s="507">
        <f>F.G.P.INCREMENTO!J22+'F.G.P. ESTIMACIONES 2014'!J22</f>
        <v>14120990.847987041</v>
      </c>
      <c r="K19" s="507">
        <f>F.G.P.INCREMENTO!K22+'F.G.P. ESTIMACIONES 2014'!K22</f>
        <v>13224802.672939427</v>
      </c>
      <c r="L19" s="507">
        <f>F.G.P.INCREMENTO!L22+'F.G.P. ESTIMACIONES 2014'!L22</f>
        <v>11629489.258396873</v>
      </c>
      <c r="M19" s="507">
        <f>F.G.P.INCREMENTO!M22+'F.G.P. ESTIMACIONES 2014'!M22</f>
        <v>12797178.089885939</v>
      </c>
      <c r="N19" s="507">
        <f>F.G.P.INCREMENTO!N22+'F.G.P. ESTIMACIONES 2014'!N22</f>
        <v>13268116.181919534</v>
      </c>
      <c r="O19" s="508">
        <f t="shared" si="0"/>
        <v>167737532.54310304</v>
      </c>
      <c r="P19" s="509"/>
      <c r="Q19" s="509"/>
    </row>
    <row r="20" spans="1:20" x14ac:dyDescent="0.2">
      <c r="A20" s="505" t="s">
        <v>156</v>
      </c>
      <c r="B20" s="525"/>
      <c r="C20" s="507">
        <f>F.G.P.INCREMENTO!C23+'F.G.P. ESTIMACIONES 2014'!C23</f>
        <v>5641728.3823133102</v>
      </c>
      <c r="D20" s="507">
        <f>F.G.P.INCREMENTO!D23+'F.G.P. ESTIMACIONES 2014'!D23</f>
        <v>7638769.7035947619</v>
      </c>
      <c r="E20" s="507">
        <f>F.G.P.INCREMENTO!E23+'F.G.P. ESTIMACIONES 2014'!E23</f>
        <v>5689905.961910801</v>
      </c>
      <c r="F20" s="507">
        <f>F.G.P.INCREMENTO!F23+'F.G.P. ESTIMACIONES 2014'!F23</f>
        <v>8194693.0835042354</v>
      </c>
      <c r="G20" s="507">
        <f>F.G.P.INCREMENTO!G23+'F.G.P. ESTIMACIONES 2014'!G23</f>
        <v>6855400.0014622826</v>
      </c>
      <c r="H20" s="507">
        <f>F.G.P.INCREMENTO!H23+'F.G.P. ESTIMACIONES 2014'!H23</f>
        <v>7010363.7077594278</v>
      </c>
      <c r="I20" s="507">
        <f>F.G.P.INCREMENTO!I23+'F.G.P. ESTIMACIONES 2014'!I23</f>
        <v>6209777.1973746419</v>
      </c>
      <c r="J20" s="507">
        <f>F.G.P.INCREMENTO!J23+'F.G.P. ESTIMACIONES 2014'!J23</f>
        <v>6514378.5558025967</v>
      </c>
      <c r="K20" s="507">
        <f>F.G.P.INCREMENTO!K23+'F.G.P. ESTIMACIONES 2014'!K23</f>
        <v>6018362.9549609171</v>
      </c>
      <c r="L20" s="507">
        <f>F.G.P.INCREMENTO!L23+'F.G.P. ESTIMACIONES 2014'!L23</f>
        <v>5153909.2288477859</v>
      </c>
      <c r="M20" s="507">
        <f>F.G.P.INCREMENTO!M23+'F.G.P. ESTIMACIONES 2014'!M23</f>
        <v>5860311.7911355123</v>
      </c>
      <c r="N20" s="507">
        <f>F.G.P.INCREMENTO!N23+'F.G.P. ESTIMACIONES 2014'!N23</f>
        <v>6037019.0612165518</v>
      </c>
      <c r="O20" s="508">
        <f t="shared" si="0"/>
        <v>76824619.629882827</v>
      </c>
      <c r="P20" s="509"/>
      <c r="Q20" s="509"/>
    </row>
    <row r="21" spans="1:20" x14ac:dyDescent="0.2">
      <c r="A21" s="505" t="s">
        <v>157</v>
      </c>
      <c r="B21" s="525"/>
      <c r="C21" s="507">
        <f>F.G.P.INCREMENTO!C24+'F.G.P. ESTIMACIONES 2014'!C24</f>
        <v>49235773.10937161</v>
      </c>
      <c r="D21" s="507">
        <f>F.G.P.INCREMENTO!D24+'F.G.P. ESTIMACIONES 2014'!D24</f>
        <v>64284082.442076921</v>
      </c>
      <c r="E21" s="507">
        <f>F.G.P.INCREMENTO!E24+'F.G.P. ESTIMACIONES 2014'!E24</f>
        <v>49224397.298159271</v>
      </c>
      <c r="F21" s="507">
        <f>F.G.P.INCREMENTO!F24+'F.G.P. ESTIMACIONES 2014'!F24</f>
        <v>66523730.701787308</v>
      </c>
      <c r="G21" s="507">
        <f>F.G.P.INCREMENTO!G24+'F.G.P. ESTIMACIONES 2014'!G24</f>
        <v>55798197.052050486</v>
      </c>
      <c r="H21" s="507">
        <f>F.G.P.INCREMENTO!H24+'F.G.P. ESTIMACIONES 2014'!H24</f>
        <v>56300605.557133764</v>
      </c>
      <c r="I21" s="507">
        <f>F.G.P.INCREMENTO!I24+'F.G.P. ESTIMACIONES 2014'!I24</f>
        <v>54059746.503541209</v>
      </c>
      <c r="J21" s="507">
        <f>F.G.P.INCREMENTO!J24+'F.G.P. ESTIMACIONES 2014'!J24</f>
        <v>53988542.457265005</v>
      </c>
      <c r="K21" s="507">
        <f>F.G.P.INCREMENTO!K24+'F.G.P. ESTIMACIONES 2014'!K24</f>
        <v>52252913.435553208</v>
      </c>
      <c r="L21" s="507">
        <f>F.G.P.INCREMENTO!L24+'F.G.P. ESTIMACIONES 2014'!L24</f>
        <v>48784360.905288525</v>
      </c>
      <c r="M21" s="507">
        <f>F.G.P.INCREMENTO!M24+'F.G.P. ESTIMACIONES 2014'!M24</f>
        <v>49814932.980052158</v>
      </c>
      <c r="N21" s="507">
        <f>F.G.P.INCREMENTO!N24+'F.G.P. ESTIMACIONES 2014'!N24</f>
        <v>52445652.146990635</v>
      </c>
      <c r="O21" s="508">
        <f t="shared" si="0"/>
        <v>652712934.58927011</v>
      </c>
      <c r="P21" s="509"/>
      <c r="Q21" s="509"/>
      <c r="T21" s="509"/>
    </row>
    <row r="22" spans="1:20" x14ac:dyDescent="0.2">
      <c r="A22" s="505" t="s">
        <v>158</v>
      </c>
      <c r="B22" s="525"/>
      <c r="C22" s="507">
        <f>F.G.P.INCREMENTO!C25+'F.G.P. ESTIMACIONES 2014'!C25</f>
        <v>6035937.484753252</v>
      </c>
      <c r="D22" s="507">
        <f>F.G.P.INCREMENTO!D25+'F.G.P. ESTIMACIONES 2014'!D25</f>
        <v>8159728.6207520626</v>
      </c>
      <c r="E22" s="507">
        <f>F.G.P.INCREMENTO!E25+'F.G.P. ESTIMACIONES 2014'!E25</f>
        <v>6085160.6273592189</v>
      </c>
      <c r="F22" s="507">
        <f>F.G.P.INCREMENTO!F25+'F.G.P. ESTIMACIONES 2014'!F25</f>
        <v>8740458.9771830849</v>
      </c>
      <c r="G22" s="507">
        <f>F.G.P.INCREMENTO!G25+'F.G.P. ESTIMACIONES 2014'!G25</f>
        <v>7312757.6063210145</v>
      </c>
      <c r="H22" s="507">
        <f>F.G.P.INCREMENTO!H25+'F.G.P. ESTIMACIONES 2014'!H25</f>
        <v>7473981.1580699673</v>
      </c>
      <c r="I22" s="507">
        <f>F.G.P.INCREMENTO!I25+'F.G.P. ESTIMACIONES 2014'!I25</f>
        <v>6642960.9377231561</v>
      </c>
      <c r="J22" s="507">
        <f>F.G.P.INCREMENTO!J25+'F.G.P. ESTIMACIONES 2014'!J25</f>
        <v>6954176.7033435255</v>
      </c>
      <c r="K22" s="507">
        <f>F.G.P.INCREMENTO!K25+'F.G.P. ESTIMACIONES 2014'!K25</f>
        <v>6437439.0714371465</v>
      </c>
      <c r="L22" s="507">
        <f>F.G.P.INCREMENTO!L25+'F.G.P. ESTIMACIONES 2014'!L25</f>
        <v>5534486.4420151701</v>
      </c>
      <c r="M22" s="507">
        <f>F.G.P.INCREMENTO!M25+'F.G.P. ESTIMACIONES 2014'!M25</f>
        <v>6262654.6556518562</v>
      </c>
      <c r="N22" s="507">
        <f>F.G.P.INCREMENTO!N25+'F.G.P. ESTIMACIONES 2014'!N25</f>
        <v>6457559.5819317028</v>
      </c>
      <c r="O22" s="508">
        <f t="shared" si="0"/>
        <v>82097301.866541147</v>
      </c>
      <c r="P22" s="509"/>
      <c r="Q22" s="509"/>
      <c r="T22" s="509"/>
    </row>
    <row r="23" spans="1:20" ht="13.5" thickBot="1" x14ac:dyDescent="0.25">
      <c r="A23" s="505" t="s">
        <v>159</v>
      </c>
      <c r="B23" s="525"/>
      <c r="C23" s="507">
        <f>F.G.P.INCREMENTO!C26+'F.G.P. ESTIMACIONES 2014'!C26</f>
        <v>6615725.6839973088</v>
      </c>
      <c r="D23" s="507">
        <f>F.G.P.INCREMENTO!D26+'F.G.P. ESTIMACIONES 2014'!D26</f>
        <v>9240218.4904824682</v>
      </c>
      <c r="E23" s="507">
        <f>F.G.P.INCREMENTO!E26+'F.G.P. ESTIMACIONES 2014'!E26</f>
        <v>6723509.4093576167</v>
      </c>
      <c r="F23" s="507">
        <f>F.G.P.INCREMENTO!F26+'F.G.P. ESTIMACIONES 2014'!F26</f>
        <v>10202341.981126666</v>
      </c>
      <c r="G23" s="507">
        <f>F.G.P.INCREMENTO!G26+'F.G.P. ESTIMACIONES 2014'!G26</f>
        <v>8517504.335441418</v>
      </c>
      <c r="H23" s="507">
        <f>F.G.P.INCREMENTO!H26+'F.G.P. ESTIMACIONES 2014'!H26</f>
        <v>8800173.9186998215</v>
      </c>
      <c r="I23" s="507">
        <f>F.G.P.INCREMENTO!I26+'F.G.P. ESTIMACIONES 2014'!I26</f>
        <v>7297691.1032202328</v>
      </c>
      <c r="J23" s="507">
        <f>F.G.P.INCREMENTO!J26+'F.G.P. ESTIMACIONES 2014'!J26</f>
        <v>7979065.1804198753</v>
      </c>
      <c r="K23" s="507">
        <f>F.G.P.INCREMENTO!K26+'F.G.P. ESTIMACIONES 2014'!K26</f>
        <v>7089424.9942288008</v>
      </c>
      <c r="L23" s="507">
        <f>F.G.P.INCREMENTO!L26+'F.G.P. ESTIMACIONES 2014'!L26</f>
        <v>5591663.9718540516</v>
      </c>
      <c r="M23" s="507">
        <f>F.G.P.INCREMENTO!M26+'F.G.P. ESTIMACIONES 2014'!M26</f>
        <v>7029826.2767530233</v>
      </c>
      <c r="N23" s="507">
        <f>F.G.P.INCREMENTO!N26+'F.G.P. ESTIMACIONES 2014'!N26</f>
        <v>7107747.6103030387</v>
      </c>
      <c r="O23" s="508">
        <f t="shared" si="0"/>
        <v>92194892.955884323</v>
      </c>
      <c r="P23" s="509"/>
      <c r="Q23" s="509"/>
      <c r="T23" s="509"/>
    </row>
    <row r="24" spans="1:20" ht="13.5" thickBot="1" x14ac:dyDescent="0.25">
      <c r="A24" s="510" t="s">
        <v>264</v>
      </c>
      <c r="B24" s="526">
        <f>SUM(B4:B23)</f>
        <v>0</v>
      </c>
      <c r="C24" s="512">
        <f>SUM(C4:C23)</f>
        <v>161784700.80480972</v>
      </c>
      <c r="D24" s="512">
        <f t="shared" ref="D24:N24" si="1">SUM(D4:D23)</f>
        <v>219156201.12443399</v>
      </c>
      <c r="E24" s="512">
        <f t="shared" si="1"/>
        <v>163185033.84047198</v>
      </c>
      <c r="F24" s="512">
        <f t="shared" si="1"/>
        <v>235211646.91389194</v>
      </c>
      <c r="G24" s="512">
        <f t="shared" si="1"/>
        <v>196763642.4569948</v>
      </c>
      <c r="H24" s="512">
        <f t="shared" si="1"/>
        <v>201244398.54257682</v>
      </c>
      <c r="I24" s="512">
        <f t="shared" si="1"/>
        <v>178080120.30807352</v>
      </c>
      <c r="J24" s="512">
        <f t="shared" si="1"/>
        <v>186933654.30227739</v>
      </c>
      <c r="K24" s="512">
        <f t="shared" si="1"/>
        <v>172596967.75675756</v>
      </c>
      <c r="L24" s="512">
        <f t="shared" si="1"/>
        <v>147630343.76248458</v>
      </c>
      <c r="M24" s="512">
        <f t="shared" si="1"/>
        <v>168110642.40523392</v>
      </c>
      <c r="N24" s="512">
        <f t="shared" si="1"/>
        <v>173130657.65699375</v>
      </c>
      <c r="O24" s="512">
        <f>SUM(C24:N24)</f>
        <v>2203828009.8749995</v>
      </c>
      <c r="P24" s="509"/>
      <c r="Q24" s="509"/>
      <c r="T24" s="509"/>
    </row>
    <row r="25" spans="1:20" x14ac:dyDescent="0.2">
      <c r="A25" s="514" t="s">
        <v>265</v>
      </c>
    </row>
    <row r="39" spans="13:13" x14ac:dyDescent="0.2">
      <c r="M39" s="500" t="s">
        <v>306</v>
      </c>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R28"/>
  <sheetViews>
    <sheetView workbookViewId="0">
      <selection sqref="A1:O1"/>
    </sheetView>
  </sheetViews>
  <sheetFormatPr baseColWidth="10" defaultRowHeight="12.75" x14ac:dyDescent="0.2"/>
  <cols>
    <col min="1" max="1" width="16" style="500" customWidth="1"/>
    <col min="2" max="2" width="9.28515625" style="500" hidden="1" customWidth="1"/>
    <col min="3" max="10" width="9.7109375" style="500" customWidth="1"/>
    <col min="11" max="11" width="11.7109375" style="500" customWidth="1"/>
    <col min="12" max="14" width="9.7109375" style="500" customWidth="1"/>
    <col min="15" max="15" width="11.42578125" style="500" bestFit="1" customWidth="1"/>
    <col min="16" max="17" width="11.42578125" style="500"/>
    <col min="18" max="18" width="13.7109375" style="500" bestFit="1" customWidth="1"/>
    <col min="19" max="16384" width="11.42578125" style="500"/>
  </cols>
  <sheetData>
    <row r="1" spans="1:15" x14ac:dyDescent="0.2">
      <c r="A1" s="1193" t="s">
        <v>433</v>
      </c>
      <c r="B1" s="1193"/>
      <c r="C1" s="1193"/>
      <c r="D1" s="1193"/>
      <c r="E1" s="1193"/>
      <c r="F1" s="1193"/>
      <c r="G1" s="1193"/>
      <c r="H1" s="1193"/>
      <c r="I1" s="1193"/>
      <c r="J1" s="1193"/>
      <c r="K1" s="1193"/>
      <c r="L1" s="1193"/>
      <c r="M1" s="1193"/>
      <c r="N1" s="1193"/>
      <c r="O1" s="1193"/>
    </row>
    <row r="2" spans="1:15" ht="13.5" thickBot="1" x14ac:dyDescent="0.25">
      <c r="O2" s="639" t="s">
        <v>552</v>
      </c>
    </row>
    <row r="3" spans="1:15" ht="34.5" thickBot="1" x14ac:dyDescent="0.25">
      <c r="A3" s="777" t="s">
        <v>13</v>
      </c>
      <c r="B3" s="781"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5" x14ac:dyDescent="0.2">
      <c r="A4" s="505" t="s">
        <v>258</v>
      </c>
      <c r="B4" s="525"/>
      <c r="C4" s="507">
        <f>'F.F.M30%'!C7+'F.F.M.70%'!C7+'F.F.M.ESTIIMACIONES 2014'!C7</f>
        <v>1489968.0817034317</v>
      </c>
      <c r="D4" s="507">
        <f>'F.F.M30%'!D7+'F.F.M.70%'!D7+'F.F.M.ESTIIMACIONES 2014'!D7</f>
        <v>1865947.1048503153</v>
      </c>
      <c r="E4" s="507">
        <f>'F.F.M30%'!E7+'F.F.M.70%'!E7+'F.F.M.ESTIIMACIONES 2014'!E7</f>
        <v>1477691.1452908036</v>
      </c>
      <c r="F4" s="507">
        <f>'F.F.M30%'!F7+'F.F.M.70%'!F7+'F.F.M.ESTIIMACIONES 2014'!F7</f>
        <v>1877669.7064515213</v>
      </c>
      <c r="G4" s="507">
        <f>'F.F.M30%'!G7+'F.F.M.70%'!G7+'F.F.M.ESTIIMACIONES 2014'!G7</f>
        <v>1578163.8852906879</v>
      </c>
      <c r="H4" s="507">
        <f>'F.F.M30%'!H7+'F.F.M.70%'!H7+'F.F.M.ESTIIMACIONES 2014'!H7</f>
        <v>1647884.779940587</v>
      </c>
      <c r="I4" s="507">
        <f>'F.F.M30%'!I7+'F.F.M.70%'!I7+'F.F.M.ESTIIMACIONES 2014'!I7</f>
        <v>1632900.2644057991</v>
      </c>
      <c r="J4" s="507">
        <f>'F.F.M30%'!J7+'F.F.M.70%'!J7+'F.F.M.ESTIIMACIONES 2014'!J7</f>
        <v>1555321.303096826</v>
      </c>
      <c r="K4" s="507">
        <f>'F.F.M30%'!K7+'F.F.M.70%'!K7+'F.F.M.ESTIIMACIONES 2014'!K7</f>
        <v>1574197.7725631227</v>
      </c>
      <c r="L4" s="507">
        <f>'F.F.M30%'!L7+'F.F.M.70%'!L7+'F.F.M.ESTIIMACIONES 2014'!L7</f>
        <v>1460556.209259843</v>
      </c>
      <c r="M4" s="507">
        <f>'F.F.M30%'!M7+'F.F.M.70%'!M7+'F.F.M.ESTIIMACIONES 2014'!M7</f>
        <v>1470822.8306757915</v>
      </c>
      <c r="N4" s="507">
        <f>'F.F.M30%'!N7+'F.F.M.70%'!N7+'F.F.M.ESTIIMACIONES 2014'!N7</f>
        <v>1580884.6684461029</v>
      </c>
      <c r="O4" s="508">
        <f t="shared" ref="O4:O24" si="0">SUM(C4:N4)</f>
        <v>19212007.751974829</v>
      </c>
    </row>
    <row r="5" spans="1:15" x14ac:dyDescent="0.2">
      <c r="A5" s="505" t="s">
        <v>141</v>
      </c>
      <c r="B5" s="525"/>
      <c r="C5" s="507">
        <f>'F.F.M30%'!C8+'F.F.M.70%'!C8+'F.F.M.ESTIIMACIONES 2014'!C8</f>
        <v>975062.85834395548</v>
      </c>
      <c r="D5" s="507">
        <f>'F.F.M30%'!D8+'F.F.M.70%'!D8+'F.F.M.ESTIIMACIONES 2014'!D8</f>
        <v>1196154.3952214224</v>
      </c>
      <c r="E5" s="507">
        <f>'F.F.M30%'!E8+'F.F.M.70%'!E8+'F.F.M.ESTIIMACIONES 2014'!E8</f>
        <v>962930.39709888911</v>
      </c>
      <c r="F5" s="507">
        <f>'F.F.M30%'!F8+'F.F.M.70%'!F8+'F.F.M.ESTIIMACIONES 2014'!F8</f>
        <v>1181636.6559256606</v>
      </c>
      <c r="G5" s="507">
        <f>'F.F.M30%'!G8+'F.F.M.70%'!G8+'F.F.M.ESTIIMACIONES 2014'!G8</f>
        <v>994627.51861738251</v>
      </c>
      <c r="H5" s="507">
        <f>'F.F.M30%'!H8+'F.F.M.70%'!H8+'F.F.M.ESTIIMACIONES 2014'!H8</f>
        <v>1044868.3237082101</v>
      </c>
      <c r="I5" s="507">
        <f>'F.F.M30%'!I8+'F.F.M.70%'!I8+'F.F.M.ESTIIMACIONES 2014'!I8</f>
        <v>1067406.5576489051</v>
      </c>
      <c r="J5" s="507">
        <f>'F.F.M30%'!J8+'F.F.M.70%'!J8+'F.F.M.ESTIIMACIONES 2014'!J8</f>
        <v>990733.49056212872</v>
      </c>
      <c r="K5" s="507">
        <f>'F.F.M30%'!K8+'F.F.M.70%'!K8+'F.F.M.ESTIIMACIONES 2014'!K8</f>
        <v>1027672.711610388</v>
      </c>
      <c r="L5" s="507">
        <f>'F.F.M30%'!L8+'F.F.M.70%'!L8+'F.F.M.ESTIIMACIONES 2014'!L8</f>
        <v>972291.31638611166</v>
      </c>
      <c r="M5" s="507">
        <f>'F.F.M30%'!M8+'F.F.M.70%'!M8+'F.F.M.ESTIIMACIONES 2014'!M8</f>
        <v>949943.24281212583</v>
      </c>
      <c r="N5" s="507">
        <f>'F.F.M30%'!N8+'F.F.M.70%'!N8+'F.F.M.ESTIIMACIONES 2014'!N8</f>
        <v>1032335.2856598451</v>
      </c>
      <c r="O5" s="508">
        <f t="shared" si="0"/>
        <v>12395662.753595022</v>
      </c>
    </row>
    <row r="6" spans="1:15" x14ac:dyDescent="0.2">
      <c r="A6" s="505" t="s">
        <v>142</v>
      </c>
      <c r="B6" s="525"/>
      <c r="C6" s="507">
        <f>'F.F.M30%'!C9+'F.F.M.70%'!C9+'F.F.M.ESTIIMACIONES 2014'!C9</f>
        <v>889304.64827919414</v>
      </c>
      <c r="D6" s="507">
        <f>'F.F.M30%'!D9+'F.F.M.70%'!D9+'F.F.M.ESTIIMACIONES 2014'!D9</f>
        <v>1071866.428074725</v>
      </c>
      <c r="E6" s="507">
        <f>'F.F.M30%'!E9+'F.F.M.70%'!E9+'F.F.M.ESTIIMACIONES 2014'!E9</f>
        <v>875105.27933325665</v>
      </c>
      <c r="F6" s="507">
        <f>'F.F.M30%'!F9+'F.F.M.70%'!F9+'F.F.M.ESTIIMACIONES 2014'!F9</f>
        <v>1041657.0214163746</v>
      </c>
      <c r="G6" s="507">
        <f>'F.F.M30%'!G9+'F.F.M.70%'!G9+'F.F.M.ESTIIMACIONES 2014'!G9</f>
        <v>877972.76784201839</v>
      </c>
      <c r="H6" s="507">
        <f>'F.F.M30%'!H9+'F.F.M.70%'!H9+'F.F.M.ESTIIMACIONES 2014'!H9</f>
        <v>927323.3509697048</v>
      </c>
      <c r="I6" s="507">
        <f>'F.F.M30%'!I9+'F.F.M.70%'!I9+'F.F.M.ESTIIMACIONES 2014'!I9</f>
        <v>972613.67536288954</v>
      </c>
      <c r="J6" s="507">
        <f>'F.F.M30%'!J9+'F.F.M.70%'!J9+'F.F.M.ESTIIMACIONES 2014'!J9</f>
        <v>882874.87477732217</v>
      </c>
      <c r="K6" s="507">
        <f>'F.F.M30%'!K9+'F.F.M.70%'!K9+'F.F.M.ESTIIMACIONES 2014'!K9</f>
        <v>935366.70045223436</v>
      </c>
      <c r="L6" s="507">
        <f>'F.F.M30%'!L9+'F.F.M.70%'!L9+'F.F.M.ESTIIMACIONES 2014'!L9</f>
        <v>899376.4806992932</v>
      </c>
      <c r="M6" s="507">
        <f>'F.F.M30%'!M9+'F.F.M.70%'!M9+'F.F.M.ESTIIMACIONES 2014'!M9</f>
        <v>856766.06387740816</v>
      </c>
      <c r="N6" s="507">
        <f>'F.F.M30%'!N9+'F.F.M.70%'!N9+'F.F.M.ESTIIMACIONES 2014'!N9</f>
        <v>939838.3205628799</v>
      </c>
      <c r="O6" s="508">
        <f t="shared" si="0"/>
        <v>11170065.6116473</v>
      </c>
    </row>
    <row r="7" spans="1:15" x14ac:dyDescent="0.2">
      <c r="A7" s="312" t="s">
        <v>349</v>
      </c>
      <c r="B7" s="525"/>
      <c r="C7" s="507">
        <f>'F.F.M30%'!C10+'F.F.M.70%'!C10+'F.F.M.ESTIIMACIONES 2014'!C10</f>
        <v>3912256.7979492783</v>
      </c>
      <c r="D7" s="507">
        <f>'F.F.M30%'!D10+'F.F.M.70%'!D10+'F.F.M.ESTIIMACIONES 2014'!D10</f>
        <v>6553709.4214180885</v>
      </c>
      <c r="E7" s="507">
        <f>'F.F.M30%'!E10+'F.F.M.70%'!E10+'F.F.M.ESTIIMACIONES 2014'!E10</f>
        <v>4151672.8536812109</v>
      </c>
      <c r="F7" s="507">
        <f>'F.F.M30%'!F10+'F.F.M.70%'!F10+'F.F.M.ESTIIMACIONES 2014'!F10</f>
        <v>8055316.0921210675</v>
      </c>
      <c r="G7" s="507">
        <f>'F.F.M30%'!G10+'F.F.M.70%'!G10+'F.F.M.ESTIIMACIONES 2014'!G10</f>
        <v>6672784.4301279448</v>
      </c>
      <c r="H7" s="507">
        <f>'F.F.M30%'!H10+'F.F.M.70%'!H10+'F.F.M.ESTIIMACIONES 2014'!H10</f>
        <v>6550000.8973885793</v>
      </c>
      <c r="I7" s="507">
        <f>'F.F.M30%'!I10+'F.F.M.70%'!I10+'F.F.M.ESTIIMACIONES 2014'!I10</f>
        <v>4366688.9968343191</v>
      </c>
      <c r="J7" s="507">
        <f>'F.F.M30%'!J10+'F.F.M.70%'!J10+'F.F.M.ESTIIMACIONES 2014'!J10</f>
        <v>5880046.2764512356</v>
      </c>
      <c r="K7" s="507">
        <f>'F.F.M30%'!K10+'F.F.M.70%'!K10+'F.F.M.ESTIIMACIONES 2014'!K10</f>
        <v>4299905.9498049291</v>
      </c>
      <c r="L7" s="507">
        <f>'F.F.M30%'!L10+'F.F.M.70%'!L10+'F.F.M.ESTIIMACIONES 2014'!L10</f>
        <v>2742898.6325303838</v>
      </c>
      <c r="M7" s="507">
        <f>'F.F.M30%'!M10+'F.F.M.70%'!M10+'F.F.M.ESTIIMACIONES 2014'!M10</f>
        <v>4696562.4027718464</v>
      </c>
      <c r="N7" s="507">
        <f>'F.F.M30%'!N10+'F.F.M.70%'!N10+'F.F.M.ESTIIMACIONES 2014'!N10</f>
        <v>4298470.1482957937</v>
      </c>
      <c r="O7" s="508">
        <f t="shared" si="0"/>
        <v>62180312.899374679</v>
      </c>
    </row>
    <row r="8" spans="1:15" x14ac:dyDescent="0.2">
      <c r="A8" s="505" t="s">
        <v>144</v>
      </c>
      <c r="B8" s="525"/>
      <c r="C8" s="507">
        <f>'F.F.M30%'!C11+'F.F.M.70%'!C11+'F.F.M.ESTIIMACIONES 2014'!C11</f>
        <v>2349058.3493595403</v>
      </c>
      <c r="D8" s="507">
        <f>'F.F.M30%'!D11+'F.F.M.70%'!D11+'F.F.M.ESTIIMACIONES 2014'!D11</f>
        <v>3205510.9774835664</v>
      </c>
      <c r="E8" s="507">
        <f>'F.F.M30%'!E11+'F.F.M.70%'!E11+'F.F.M.ESTIIMACIONES 2014'!E11</f>
        <v>2373005.0267294366</v>
      </c>
      <c r="F8" s="507">
        <f>'F.F.M30%'!F11+'F.F.M.70%'!F11+'F.F.M.ESTIIMACIONES 2014'!F11</f>
        <v>3458447.5239767209</v>
      </c>
      <c r="G8" s="507">
        <f>'F.F.M30%'!G11+'F.F.M.70%'!G11+'F.F.M.ESTIIMACIONES 2014'!G11</f>
        <v>2891229.7563712825</v>
      </c>
      <c r="H8" s="507">
        <f>'F.F.M30%'!H11+'F.F.M.70%'!H11+'F.F.M.ESTIIMACIONES 2014'!H11</f>
        <v>2952396.6602523737</v>
      </c>
      <c r="I8" s="507">
        <f>'F.F.M30%'!I11+'F.F.M.70%'!I11+'F.F.M.ESTIIMACIONES 2014'!I11</f>
        <v>2587016.4955192087</v>
      </c>
      <c r="J8" s="507">
        <f>'F.F.M30%'!J11+'F.F.M.70%'!J11+'F.F.M.ESTIIMACIONES 2014'!J11</f>
        <v>2738412.0567867076</v>
      </c>
      <c r="K8" s="507">
        <f>'F.F.M30%'!K11+'F.F.M.70%'!K11+'F.F.M.ESTIIMACIONES 2014'!K11</f>
        <v>2508391.6742277136</v>
      </c>
      <c r="L8" s="507">
        <f>'F.F.M30%'!L11+'F.F.M.70%'!L11+'F.F.M.ESTIIMACIONES 2014'!L11</f>
        <v>2128598.6431761766</v>
      </c>
      <c r="M8" s="507">
        <f>'F.F.M30%'!M11+'F.F.M.70%'!M11+'F.F.M.ESTIIMACIONES 2014'!M11</f>
        <v>2451908.6135190018</v>
      </c>
      <c r="N8" s="507">
        <f>'F.F.M30%'!N11+'F.F.M.70%'!N11+'F.F.M.ESTIIMACIONES 2014'!N11</f>
        <v>2515906.4422834003</v>
      </c>
      <c r="O8" s="508">
        <f t="shared" si="0"/>
        <v>32159882.21968513</v>
      </c>
    </row>
    <row r="9" spans="1:15" x14ac:dyDescent="0.2">
      <c r="A9" s="505" t="s">
        <v>260</v>
      </c>
      <c r="B9" s="525"/>
      <c r="C9" s="507">
        <f>'F.F.M30%'!C12+'F.F.M.70%'!C12+'F.F.M.ESTIIMACIONES 2014'!C12</f>
        <v>750762.30940593116</v>
      </c>
      <c r="D9" s="507">
        <f>'F.F.M30%'!D12+'F.F.M.70%'!D12+'F.F.M.ESTIIMACIONES 2014'!D12</f>
        <v>1020273.1662545594</v>
      </c>
      <c r="E9" s="507">
        <f>'F.F.M30%'!E12+'F.F.M.70%'!E12+'F.F.M.ESTIIMACIONES 2014'!E12</f>
        <v>757723.92430484365</v>
      </c>
      <c r="F9" s="507">
        <f>'F.F.M30%'!F12+'F.F.M.70%'!F12+'F.F.M.ESTIIMACIONES 2014'!F12</f>
        <v>1097366.4994428842</v>
      </c>
      <c r="G9" s="507">
        <f>'F.F.M30%'!G12+'F.F.M.70%'!G12+'F.F.M.ESTIIMACIONES 2014'!G12</f>
        <v>917600.93881856278</v>
      </c>
      <c r="H9" s="507">
        <f>'F.F.M30%'!H12+'F.F.M.70%'!H12+'F.F.M.ESTIIMACIONES 2014'!H12</f>
        <v>937928.83456128207</v>
      </c>
      <c r="I9" s="507">
        <f>'F.F.M30%'!I12+'F.F.M.70%'!I12+'F.F.M.ESTIIMACIONES 2014'!I12</f>
        <v>826612.55292127107</v>
      </c>
      <c r="J9" s="507">
        <f>'F.F.M30%'!J12+'F.F.M.70%'!J12+'F.F.M.ESTIIMACIONES 2014'!J12</f>
        <v>870626.20177232858</v>
      </c>
      <c r="K9" s="507">
        <f>'F.F.M30%'!K12+'F.F.M.70%'!K12+'F.F.M.ESTIIMACIONES 2014'!K12</f>
        <v>801261.49932808836</v>
      </c>
      <c r="L9" s="507">
        <f>'F.F.M30%'!L12+'F.F.M.70%'!L12+'F.F.M.ESTIIMACIONES 2014'!L12</f>
        <v>683084.25026661623</v>
      </c>
      <c r="M9" s="507">
        <f>'F.F.M30%'!M12+'F.F.M.70%'!M12+'F.F.M.ESTIIMACIONES 2014'!M12</f>
        <v>781508.10417720862</v>
      </c>
      <c r="N9" s="507">
        <f>'F.F.M30%'!N12+'F.F.M.70%'!N12+'F.F.M.ESTIIMACIONES 2014'!N12</f>
        <v>803711.59835820249</v>
      </c>
      <c r="O9" s="508">
        <f t="shared" si="0"/>
        <v>10248459.879611777</v>
      </c>
    </row>
    <row r="10" spans="1:15" x14ac:dyDescent="0.2">
      <c r="A10" s="505" t="s">
        <v>146</v>
      </c>
      <c r="B10" s="525"/>
      <c r="C10" s="507">
        <f>'F.F.M30%'!C13+'F.F.M.70%'!C13+'F.F.M.ESTIIMACIONES 2014'!C13</f>
        <v>596071.37522853585</v>
      </c>
      <c r="D10" s="507">
        <f>'F.F.M30%'!D13+'F.F.M.70%'!D13+'F.F.M.ESTIIMACIONES 2014'!D13</f>
        <v>726274.23008842417</v>
      </c>
      <c r="E10" s="507">
        <f>'F.F.M30%'!E13+'F.F.M.70%'!E13+'F.F.M.ESTIIMACIONES 2014'!E13</f>
        <v>587841.09732332209</v>
      </c>
      <c r="F10" s="507">
        <f>'F.F.M30%'!F13+'F.F.M.70%'!F13+'F.F.M.ESTIIMACIONES 2014'!F13</f>
        <v>712994.64502077596</v>
      </c>
      <c r="G10" s="507">
        <f>'F.F.M30%'!G13+'F.F.M.70%'!G13+'F.F.M.ESTIIMACIONES 2014'!G13</f>
        <v>600458.15672752878</v>
      </c>
      <c r="H10" s="507">
        <f>'F.F.M30%'!H13+'F.F.M.70%'!H13+'F.F.M.ESTIIMACIONES 2014'!H13</f>
        <v>632087.08701455721</v>
      </c>
      <c r="I10" s="507">
        <f>'F.F.M30%'!I13+'F.F.M.70%'!I13+'F.F.M.ESTIIMACIONES 2014'!I13</f>
        <v>652285.5706020575</v>
      </c>
      <c r="J10" s="507">
        <f>'F.F.M30%'!J13+'F.F.M.70%'!J13+'F.F.M.ESTIIMACIONES 2014'!J13</f>
        <v>600272.05985661224</v>
      </c>
      <c r="K10" s="507">
        <f>'F.F.M30%'!K13+'F.F.M.70%'!K13+'F.F.M.ESTIIMACIONES 2014'!K13</f>
        <v>627734.04335610813</v>
      </c>
      <c r="L10" s="507">
        <f>'F.F.M30%'!L13+'F.F.M.70%'!L13+'F.F.M.ESTIIMACIONES 2014'!L13</f>
        <v>597647.67420516734</v>
      </c>
      <c r="M10" s="507">
        <f>'F.F.M30%'!M13+'F.F.M.70%'!M13+'F.F.M.ESTIIMACIONES 2014'!M13</f>
        <v>578216.06448967475</v>
      </c>
      <c r="N10" s="507">
        <f>'F.F.M30%'!N13+'F.F.M.70%'!N13+'F.F.M.ESTIIMACIONES 2014'!N13</f>
        <v>630641.2291878938</v>
      </c>
      <c r="O10" s="508">
        <f t="shared" si="0"/>
        <v>7542523.2331006574</v>
      </c>
    </row>
    <row r="11" spans="1:15" x14ac:dyDescent="0.2">
      <c r="A11" s="505" t="s">
        <v>147</v>
      </c>
      <c r="B11" s="525"/>
      <c r="C11" s="507">
        <f>'F.F.M30%'!C14+'F.F.M.70%'!C14+'F.F.M.ESTIIMACIONES 2014'!C14</f>
        <v>1313311.0180194078</v>
      </c>
      <c r="D11" s="507">
        <f>'F.F.M30%'!D14+'F.F.M.70%'!D14+'F.F.M.ESTIIMACIONES 2014'!D14</f>
        <v>1652321.6736350353</v>
      </c>
      <c r="E11" s="507">
        <f>'F.F.M30%'!E14+'F.F.M.70%'!E14+'F.F.M.ESTIIMACIONES 2014'!E14</f>
        <v>1303739.2650306202</v>
      </c>
      <c r="F11" s="507">
        <f>'F.F.M30%'!F14+'F.F.M.70%'!F14+'F.F.M.ESTIIMACIONES 2014'!F14</f>
        <v>1669420.07191362</v>
      </c>
      <c r="G11" s="507">
        <f>'F.F.M30%'!G14+'F.F.M.70%'!G14+'F.F.M.ESTIIMACIONES 2014'!G14</f>
        <v>1402682.9019539568</v>
      </c>
      <c r="H11" s="507">
        <f>'F.F.M30%'!H14+'F.F.M.70%'!H14+'F.F.M.ESTIIMACIONES 2014'!H14</f>
        <v>1462730.4921282062</v>
      </c>
      <c r="I11" s="507">
        <f>'F.F.M30%'!I14+'F.F.M.70%'!I14+'F.F.M.ESTIIMACIONES 2014'!I14</f>
        <v>1439660.5368035838</v>
      </c>
      <c r="J11" s="507">
        <f>'F.F.M30%'!J14+'F.F.M.70%'!J14+'F.F.M.ESTIIMACIONES 2014'!J14</f>
        <v>1379178.0013952227</v>
      </c>
      <c r="K11" s="507">
        <f>'F.F.M30%'!K14+'F.F.M.70%'!K14+'F.F.M.ESTIIMACIONES 2014'!K14</f>
        <v>1388319.8874236802</v>
      </c>
      <c r="L11" s="507">
        <f>'F.F.M30%'!L14+'F.F.M.70%'!L14+'F.F.M.ESTIIMACIONES 2014'!L14</f>
        <v>1282362.6346832507</v>
      </c>
      <c r="M11" s="507">
        <f>'F.F.M30%'!M14+'F.F.M.70%'!M14+'F.F.M.ESTIIMACIONES 2014'!M14</f>
        <v>1300274.6908735135</v>
      </c>
      <c r="N11" s="507">
        <f>'F.F.M30%'!N14+'F.F.M.70%'!N14+'F.F.M.ESTIIMACIONES 2014'!N14</f>
        <v>1394126.5860957503</v>
      </c>
      <c r="O11" s="508">
        <f t="shared" si="0"/>
        <v>16988127.759955846</v>
      </c>
    </row>
    <row r="12" spans="1:15" x14ac:dyDescent="0.2">
      <c r="A12" s="505" t="s">
        <v>148</v>
      </c>
      <c r="B12" s="525"/>
      <c r="C12" s="507">
        <f>'F.F.M30%'!C15+'F.F.M.70%'!C15+'F.F.M.ESTIIMACIONES 2014'!C15</f>
        <v>1098794.6791018865</v>
      </c>
      <c r="D12" s="507">
        <f>'F.F.M30%'!D15+'F.F.M.70%'!D15+'F.F.M.ESTIIMACIONES 2014'!D15</f>
        <v>1341377.9314137311</v>
      </c>
      <c r="E12" s="507">
        <f>'F.F.M30%'!E15+'F.F.M.70%'!E15+'F.F.M.ESTIIMACIONES 2014'!E15</f>
        <v>1084044.7426396629</v>
      </c>
      <c r="F12" s="507">
        <f>'F.F.M30%'!F15+'F.F.M.70%'!F15+'F.F.M.ESTIIMACIONES 2014'!F15</f>
        <v>1319181.7271906389</v>
      </c>
      <c r="G12" s="507">
        <f>'F.F.M30%'!G15+'F.F.M.70%'!G15+'F.F.M.ESTIIMACIONES 2014'!G15</f>
        <v>1110807.1864134653</v>
      </c>
      <c r="H12" s="507">
        <f>'F.F.M30%'!H15+'F.F.M.70%'!H15+'F.F.M.ESTIIMACIONES 2014'!H15</f>
        <v>1168636.9774530116</v>
      </c>
      <c r="I12" s="507">
        <f>'F.F.M30%'!I15+'F.F.M.70%'!I15+'F.F.M.ESTIIMACIONES 2014'!I15</f>
        <v>1202542.4584837349</v>
      </c>
      <c r="J12" s="507">
        <f>'F.F.M30%'!J15+'F.F.M.70%'!J15+'F.F.M.ESTIIMACIONES 2014'!J15</f>
        <v>1109326.6009695085</v>
      </c>
      <c r="K12" s="507">
        <f>'F.F.M30%'!K15+'F.F.M.70%'!K15+'F.F.M.ESTIIMACIONES 2014'!K15</f>
        <v>1157419.917054022</v>
      </c>
      <c r="L12" s="507">
        <f>'F.F.M30%'!L15+'F.F.M.70%'!L15+'F.F.M.ESTIIMACIONES 2014'!L15</f>
        <v>1100004.99745747</v>
      </c>
      <c r="M12" s="507">
        <f>'F.F.M30%'!M15+'F.F.M.70%'!M15+'F.F.M.ESTIIMACIONES 2014'!M15</f>
        <v>1067175.8929169769</v>
      </c>
      <c r="N12" s="507">
        <f>'F.F.M30%'!N15+'F.F.M.70%'!N15+'F.F.M.ESTIIMACIONES 2014'!N15</f>
        <v>1162749.5213944691</v>
      </c>
      <c r="O12" s="508">
        <f t="shared" si="0"/>
        <v>13922062.632488579</v>
      </c>
    </row>
    <row r="13" spans="1:15" x14ac:dyDescent="0.2">
      <c r="A13" s="505" t="s">
        <v>149</v>
      </c>
      <c r="B13" s="525"/>
      <c r="C13" s="507">
        <f>'F.F.M30%'!C16+'F.F.M.70%'!C16+'F.F.M.ESTIIMACIONES 2014'!C16</f>
        <v>629098.72376418626</v>
      </c>
      <c r="D13" s="507">
        <f>'F.F.M30%'!D16+'F.F.M.70%'!D16+'F.F.M.ESTIIMACIONES 2014'!D16</f>
        <v>770166.45890176971</v>
      </c>
      <c r="E13" s="507">
        <f>'F.F.M30%'!E16+'F.F.M.70%'!E16+'F.F.M.ESTIIMACIONES 2014'!E16</f>
        <v>621011.89964575972</v>
      </c>
      <c r="F13" s="507">
        <f>'F.F.M30%'!F16+'F.F.M.70%'!F16+'F.F.M.ESTIIMACIONES 2014'!F16</f>
        <v>759396.88487461233</v>
      </c>
      <c r="G13" s="507">
        <f>'F.F.M30%'!G16+'F.F.M.70%'!G16+'F.F.M.ESTIIMACIONES 2014'!G16</f>
        <v>639309.44069092767</v>
      </c>
      <c r="H13" s="507">
        <f>'F.F.M30%'!H16+'F.F.M.70%'!H16+'F.F.M.ESTIIMACIONES 2014'!H16</f>
        <v>672015.92640369211</v>
      </c>
      <c r="I13" s="507">
        <f>'F.F.M30%'!I16+'F.F.M.70%'!I16+'F.F.M.ESTIIMACIONES 2014'!I16</f>
        <v>688602.28154113702</v>
      </c>
      <c r="J13" s="507">
        <f>'F.F.M30%'!J16+'F.F.M.70%'!J16+'F.F.M.ESTIIMACIONES 2014'!J16</f>
        <v>637495.98250776681</v>
      </c>
      <c r="K13" s="507">
        <f>'F.F.M30%'!K16+'F.F.M.70%'!K16+'F.F.M.ESTIIMACIONES 2014'!K16</f>
        <v>662883.16621657892</v>
      </c>
      <c r="L13" s="507">
        <f>'F.F.M30%'!L16+'F.F.M.70%'!L16+'F.F.M.ESTIIMACIONES 2014'!L16</f>
        <v>628352.25538006763</v>
      </c>
      <c r="M13" s="507">
        <f>'F.F.M30%'!M16+'F.F.M.70%'!M16+'F.F.M.ESTIIMACIONES 2014'!M16</f>
        <v>612095.81672475697</v>
      </c>
      <c r="N13" s="507">
        <f>'F.F.M30%'!N16+'F.F.M.70%'!N16+'F.F.M.ESTIIMACIONES 2014'!N16</f>
        <v>665909.51909363281</v>
      </c>
      <c r="O13" s="508">
        <f t="shared" si="0"/>
        <v>7986338.3557448881</v>
      </c>
    </row>
    <row r="14" spans="1:15" x14ac:dyDescent="0.2">
      <c r="A14" s="505" t="s">
        <v>150</v>
      </c>
      <c r="B14" s="525"/>
      <c r="C14" s="507">
        <f>'F.F.M30%'!C17+'F.F.M.70%'!C17+'F.F.M.ESTIIMACIONES 2014'!C17</f>
        <v>1896819.1217247753</v>
      </c>
      <c r="D14" s="507">
        <f>'F.F.M30%'!D17+'F.F.M.70%'!D17+'F.F.M.ESTIIMACIONES 2014'!D17</f>
        <v>2812417.2825026894</v>
      </c>
      <c r="E14" s="507">
        <f>'F.F.M30%'!E17+'F.F.M.70%'!E17+'F.F.M.ESTIIMACIONES 2014'!E17</f>
        <v>1952944.8628731554</v>
      </c>
      <c r="F14" s="507">
        <f>'F.F.M30%'!F17+'F.F.M.70%'!F17+'F.F.M.ESTIIMACIONES 2014'!F17</f>
        <v>3215849.5735238334</v>
      </c>
      <c r="G14" s="507">
        <f>'F.F.M30%'!G17+'F.F.M.70%'!G17+'F.F.M.ESTIIMACIONES 2014'!G17</f>
        <v>2677102.3258789908</v>
      </c>
      <c r="H14" s="507">
        <f>'F.F.M30%'!H17+'F.F.M.70%'!H17+'F.F.M.ESTIIMACIONES 2014'!H17</f>
        <v>2685072.530295616</v>
      </c>
      <c r="I14" s="507">
        <f>'F.F.M30%'!I17+'F.F.M.70%'!I17+'F.F.M.ESTIIMACIONES 2014'!I17</f>
        <v>2099682.2079685992</v>
      </c>
      <c r="J14" s="507">
        <f>'F.F.M30%'!J17+'F.F.M.70%'!J17+'F.F.M.ESTIIMACIONES 2014'!J17</f>
        <v>2454468.8834723793</v>
      </c>
      <c r="K14" s="507">
        <f>'F.F.M30%'!K17+'F.F.M.70%'!K17+'F.F.M.ESTIIMACIONES 2014'!K17</f>
        <v>2048024.3520806087</v>
      </c>
      <c r="L14" s="507">
        <f>'F.F.M30%'!L17+'F.F.M.70%'!L17+'F.F.M.ESTIIMACIONES 2014'!L17</f>
        <v>1570897.2299824003</v>
      </c>
      <c r="M14" s="507">
        <f>'F.F.M30%'!M17+'F.F.M.70%'!M17+'F.F.M.ESTIIMACIONES 2014'!M17</f>
        <v>2092893.5893572625</v>
      </c>
      <c r="N14" s="507">
        <f>'F.F.M30%'!N17+'F.F.M.70%'!N17+'F.F.M.ESTIIMACIONES 2014'!N17</f>
        <v>2051520.0913950796</v>
      </c>
      <c r="O14" s="508">
        <f t="shared" si="0"/>
        <v>27557692.051055394</v>
      </c>
    </row>
    <row r="15" spans="1:15" x14ac:dyDescent="0.2">
      <c r="A15" s="505" t="s">
        <v>151</v>
      </c>
      <c r="B15" s="525"/>
      <c r="C15" s="507">
        <f>'F.F.M30%'!C18+'F.F.M.70%'!C18+'F.F.M.ESTIIMACIONES 2014'!C18</f>
        <v>1293036.4894202584</v>
      </c>
      <c r="D15" s="507">
        <f>'F.F.M30%'!D18+'F.F.M.70%'!D18+'F.F.M.ESTIIMACIONES 2014'!D18</f>
        <v>1572756.8071782393</v>
      </c>
      <c r="E15" s="507">
        <f>'F.F.M30%'!E18+'F.F.M.70%'!E18+'F.F.M.ESTIIMACIONES 2014'!E18</f>
        <v>1274735.495084001</v>
      </c>
      <c r="F15" s="507">
        <f>'F.F.M30%'!F18+'F.F.M.70%'!F18+'F.F.M.ESTIIMACIONES 2014'!F18</f>
        <v>1541527.7830779455</v>
      </c>
      <c r="G15" s="507">
        <f>'F.F.M30%'!G18+'F.F.M.70%'!G18+'F.F.M.ESTIIMACIONES 2014'!G18</f>
        <v>1298388.0179898082</v>
      </c>
      <c r="H15" s="507">
        <f>'F.F.M30%'!H18+'F.F.M.70%'!H18+'F.F.M.ESTIIMACIONES 2014'!H18</f>
        <v>1367503.1977979073</v>
      </c>
      <c r="I15" s="507">
        <f>'F.F.M30%'!I18+'F.F.M.70%'!I18+'F.F.M.ESTIIMACIONES 2014'!I18</f>
        <v>1414849.6405643835</v>
      </c>
      <c r="J15" s="507">
        <f>'F.F.M30%'!J18+'F.F.M.70%'!J18+'F.F.M.ESTIIMACIONES 2014'!J18</f>
        <v>1299191.000669559</v>
      </c>
      <c r="K15" s="507">
        <f>'F.F.M30%'!K18+'F.F.M.70%'!K18+'F.F.M.ESTIIMACIONES 2014'!K18</f>
        <v>1361447.0328239028</v>
      </c>
      <c r="L15" s="507">
        <f>'F.F.M30%'!L18+'F.F.M.70%'!L18+'F.F.M.ESTIIMACIONES 2014'!L18</f>
        <v>1298254.3707751122</v>
      </c>
      <c r="M15" s="507">
        <f>'F.F.M30%'!M18+'F.F.M.70%'!M18+'F.F.M.ESTIIMACIONES 2014'!M18</f>
        <v>1252929.2547408056</v>
      </c>
      <c r="N15" s="507">
        <f>'F.F.M30%'!N18+'F.F.M.70%'!N18+'F.F.M.ESTIIMACIONES 2014'!N18</f>
        <v>1367784.7660616257</v>
      </c>
      <c r="O15" s="508">
        <f t="shared" si="0"/>
        <v>16342403.856183553</v>
      </c>
    </row>
    <row r="16" spans="1:15" x14ac:dyDescent="0.2">
      <c r="A16" s="505" t="s">
        <v>152</v>
      </c>
      <c r="B16" s="525"/>
      <c r="C16" s="507">
        <f>'F.F.M30%'!C19+'F.F.M.70%'!C19+'F.F.M.ESTIIMACIONES 2014'!C19</f>
        <v>1874154.4177227686</v>
      </c>
      <c r="D16" s="507">
        <f>'F.F.M30%'!D19+'F.F.M.70%'!D19+'F.F.M.ESTIIMACIONES 2014'!D19</f>
        <v>2313331.1592902923</v>
      </c>
      <c r="E16" s="507">
        <f>'F.F.M30%'!E19+'F.F.M.70%'!E19+'F.F.M.ESTIIMACIONES 2014'!E19</f>
        <v>1853169.9187612692</v>
      </c>
      <c r="F16" s="507">
        <f>'F.F.M30%'!F19+'F.F.M.70%'!F19+'F.F.M.ESTIIMACIONES 2014'!F19</f>
        <v>2298070.1028902321</v>
      </c>
      <c r="G16" s="507">
        <f>'F.F.M30%'!G19+'F.F.M.70%'!G19+'F.F.M.ESTIIMACIONES 2014'!G19</f>
        <v>1933498.3231704687</v>
      </c>
      <c r="H16" s="507">
        <f>'F.F.M30%'!H19+'F.F.M.70%'!H19+'F.F.M.ESTIIMACIONES 2014'!H19</f>
        <v>2027436.3426250974</v>
      </c>
      <c r="I16" s="507">
        <f>'F.F.M30%'!I19+'F.F.M.70%'!I19+'F.F.M.ESTIIMACIONES 2014'!I19</f>
        <v>2052327.1354406849</v>
      </c>
      <c r="J16" s="507">
        <f>'F.F.M30%'!J19+'F.F.M.70%'!J19+'F.F.M.ESTIIMACIONES 2014'!J19</f>
        <v>1919714.8350906267</v>
      </c>
      <c r="K16" s="507">
        <f>'F.F.M30%'!K19+'F.F.M.70%'!K19+'F.F.M.ESTIIMACIONES 2014'!K19</f>
        <v>1976706.1747505348</v>
      </c>
      <c r="L16" s="507">
        <f>'F.F.M30%'!L19+'F.F.M.70%'!L19+'F.F.M.ESTIIMACIONES 2014'!L19</f>
        <v>1859439.2777808355</v>
      </c>
      <c r="M16" s="507">
        <f>'F.F.M30%'!M19+'F.F.M.70%'!M19+'F.F.M.ESTIIMACIONES 2014'!M19</f>
        <v>1833046.4117965696</v>
      </c>
      <c r="N16" s="507">
        <f>'F.F.M30%'!N19+'F.F.M.70%'!N19+'F.F.M.ESTIIMACIONES 2014'!N19</f>
        <v>1985504.7703831065</v>
      </c>
      <c r="O16" s="508">
        <f t="shared" si="0"/>
        <v>23926398.869702488</v>
      </c>
    </row>
    <row r="17" spans="1:18" x14ac:dyDescent="0.2">
      <c r="A17" s="505" t="s">
        <v>261</v>
      </c>
      <c r="B17" s="525"/>
      <c r="C17" s="507">
        <f>'F.F.M30%'!C20+'F.F.M.70%'!C20+'F.F.M.ESTIIMACIONES 2014'!C20</f>
        <v>797924.46723774762</v>
      </c>
      <c r="D17" s="507">
        <f>'F.F.M30%'!D20+'F.F.M.70%'!D20+'F.F.M.ESTIIMACIONES 2014'!D20</f>
        <v>951987.72894940234</v>
      </c>
      <c r="E17" s="507">
        <f>'F.F.M30%'!E20+'F.F.M.70%'!E20+'F.F.M.ESTIIMACIONES 2014'!E20</f>
        <v>783584.77294334921</v>
      </c>
      <c r="F17" s="507">
        <f>'F.F.M30%'!F20+'F.F.M.70%'!F20+'F.F.M.ESTIIMACIONES 2014'!F20</f>
        <v>916222.85260059498</v>
      </c>
      <c r="G17" s="507">
        <f>'F.F.M30%'!G20+'F.F.M.70%'!G20+'F.F.M.ESTIIMACIONES 2014'!G20</f>
        <v>772867.56703072006</v>
      </c>
      <c r="H17" s="507">
        <f>'F.F.M30%'!H20+'F.F.M.70%'!H20+'F.F.M.ESTIIMACIONES 2014'!H20</f>
        <v>818947.88023984211</v>
      </c>
      <c r="I17" s="507">
        <f>'F.F.M30%'!I20+'F.F.M.70%'!I20+'F.F.M.ESTIIMACIONES 2014'!I20</f>
        <v>872207.21627203329</v>
      </c>
      <c r="J17" s="507">
        <f>'F.F.M30%'!J20+'F.F.M.70%'!J20+'F.F.M.ESTIIMACIONES 2014'!J20</f>
        <v>781580.15037461428</v>
      </c>
      <c r="K17" s="507">
        <f>'F.F.M30%'!K20+'F.F.M.70%'!K20+'F.F.M.ESTIIMACIONES 2014'!K20</f>
        <v>838273.23636994418</v>
      </c>
      <c r="L17" s="507">
        <f>'F.F.M30%'!L20+'F.F.M.70%'!L20+'F.F.M.ESTIIMACIONES 2014'!L20</f>
        <v>813391.39189299941</v>
      </c>
      <c r="M17" s="507">
        <f>'F.F.M30%'!M20+'F.F.M.70%'!M20+'F.F.M.ESTIIMACIONES 2014'!M20</f>
        <v>763815.73016010807</v>
      </c>
      <c r="N17" s="507">
        <f>'F.F.M30%'!N20+'F.F.M.70%'!N20+'F.F.M.ESTIIMACIONES 2014'!N20</f>
        <v>842397.20450669574</v>
      </c>
      <c r="O17" s="508">
        <f t="shared" si="0"/>
        <v>9953200.1985780522</v>
      </c>
    </row>
    <row r="18" spans="1:18" x14ac:dyDescent="0.2">
      <c r="A18" s="505" t="s">
        <v>262</v>
      </c>
      <c r="B18" s="525"/>
      <c r="C18" s="507">
        <f>'F.F.M30%'!C21+'F.F.M.70%'!C21+'F.F.M.ESTIIMACIONES 2014'!C21</f>
        <v>1119685.4466661566</v>
      </c>
      <c r="D18" s="507">
        <f>'F.F.M30%'!D21+'F.F.M.70%'!D21+'F.F.M.ESTIIMACIONES 2014'!D21</f>
        <v>1380080.9958325322</v>
      </c>
      <c r="E18" s="507">
        <f>'F.F.M30%'!E21+'F.F.M.70%'!E21+'F.F.M.ESTIIMACIONES 2014'!E21</f>
        <v>1106822.7659910647</v>
      </c>
      <c r="F18" s="507">
        <f>'F.F.M30%'!F21+'F.F.M.70%'!F21+'F.F.M.ESTIIMACIONES 2014'!F21</f>
        <v>1369199.4673822522</v>
      </c>
      <c r="G18" s="507">
        <f>'F.F.M30%'!G21+'F.F.M.70%'!G21+'F.F.M.ESTIIMACIONES 2014'!G21</f>
        <v>1152106.47138262</v>
      </c>
      <c r="H18" s="507">
        <f>'F.F.M30%'!H21+'F.F.M.70%'!H21+'F.F.M.ESTIIMACIONES 2014'!H21</f>
        <v>1208595.1564087605</v>
      </c>
      <c r="I18" s="507">
        <f>'F.F.M30%'!I21+'F.F.M.70%'!I21+'F.F.M.ESTIIMACIONES 2014'!I21</f>
        <v>1226037.1589913971</v>
      </c>
      <c r="J18" s="507">
        <f>'F.F.M30%'!J21+'F.F.M.70%'!J21+'F.F.M.ESTIIMACIONES 2014'!J21</f>
        <v>1144750.570315721</v>
      </c>
      <c r="K18" s="507">
        <f>'F.F.M30%'!K21+'F.F.M.70%'!K21+'F.F.M.ESTIIMACIONES 2014'!K21</f>
        <v>1180753.7820612607</v>
      </c>
      <c r="L18" s="507">
        <f>'F.F.M30%'!L21+'F.F.M.70%'!L21+'F.F.M.ESTIIMACIONES 2014'!L21</f>
        <v>1112203.9564671575</v>
      </c>
      <c r="M18" s="507">
        <f>'F.F.M30%'!M21+'F.F.M.70%'!M21+'F.F.M.ESTIIMACIONES 2014'!M21</f>
        <v>1094125.1343765841</v>
      </c>
      <c r="N18" s="507">
        <f>'F.F.M30%'!N21+'F.F.M.70%'!N21+'F.F.M.ESTIIMACIONES 2014'!N21</f>
        <v>1186033.1513123016</v>
      </c>
      <c r="O18" s="508">
        <f t="shared" si="0"/>
        <v>14280394.057187805</v>
      </c>
    </row>
    <row r="19" spans="1:18" x14ac:dyDescent="0.2">
      <c r="A19" s="505" t="s">
        <v>263</v>
      </c>
      <c r="B19" s="525"/>
      <c r="C19" s="507">
        <f>'F.F.M30%'!C22+'F.F.M.70%'!C22+'F.F.M.ESTIIMACIONES 2014'!C22</f>
        <v>6095638.1300023533</v>
      </c>
      <c r="D19" s="507">
        <f>'F.F.M30%'!D22+'F.F.M.70%'!D22+'F.F.M.ESTIIMACIONES 2014'!D22</f>
        <v>9232380.0631659366</v>
      </c>
      <c r="E19" s="507">
        <f>'F.F.M30%'!E22+'F.F.M.70%'!E22+'F.F.M.ESTIIMACIONES 2014'!E22</f>
        <v>6307922.4710088549</v>
      </c>
      <c r="F19" s="507">
        <f>'F.F.M30%'!F22+'F.F.M.70%'!F22+'F.F.M.ESTIIMACIONES 2014'!F22</f>
        <v>10701670.778932448</v>
      </c>
      <c r="G19" s="507">
        <f>'F.F.M30%'!G22+'F.F.M.70%'!G22+'F.F.M.ESTIIMACIONES 2014'!G22</f>
        <v>8900306.3023615852</v>
      </c>
      <c r="H19" s="507">
        <f>'F.F.M30%'!H22+'F.F.M.70%'!H22+'F.F.M.ESTIIMACIONES 2014'!H22</f>
        <v>8889983.0167772155</v>
      </c>
      <c r="I19" s="507">
        <f>'F.F.M30%'!I22+'F.F.M.70%'!I22+'F.F.M.ESTIIMACIONES 2014'!I22</f>
        <v>6756858.6444576513</v>
      </c>
      <c r="J19" s="507">
        <f>'F.F.M30%'!J22+'F.F.M.70%'!J22+'F.F.M.ESTIIMACIONES 2014'!J22</f>
        <v>8098752.6694589853</v>
      </c>
      <c r="K19" s="507">
        <f>'F.F.M30%'!K22+'F.F.M.70%'!K22+'F.F.M.ESTIIMACIONES 2014'!K22</f>
        <v>6601114.1619550316</v>
      </c>
      <c r="L19" s="507">
        <f>'F.F.M30%'!L22+'F.F.M.70%'!L22+'F.F.M.ESTIIMACIONES 2014'!L22</f>
        <v>4919930.9524133028</v>
      </c>
      <c r="M19" s="507">
        <f>'F.F.M30%'!M22+'F.F.M.70%'!M22+'F.F.M.ESTIIMACIONES 2014'!M22</f>
        <v>6823804.5747113815</v>
      </c>
      <c r="N19" s="507">
        <f>'F.F.M30%'!N22+'F.F.M.70%'!N22+'F.F.M.ESTIIMACIONES 2014'!N22</f>
        <v>6610116.4091245634</v>
      </c>
      <c r="O19" s="508">
        <f t="shared" si="0"/>
        <v>89938478.17436932</v>
      </c>
    </row>
    <row r="20" spans="1:18" x14ac:dyDescent="0.2">
      <c r="A20" s="505" t="s">
        <v>156</v>
      </c>
      <c r="B20" s="525"/>
      <c r="C20" s="507">
        <f>'F.F.M30%'!C23+'F.F.M.70%'!C23+'F.F.M.ESTIIMACIONES 2014'!C23</f>
        <v>1423721.9091484775</v>
      </c>
      <c r="D20" s="507">
        <f>'F.F.M30%'!D23+'F.F.M.70%'!D23+'F.F.M.ESTIIMACIONES 2014'!D23</f>
        <v>1772866.3273517231</v>
      </c>
      <c r="E20" s="507">
        <f>'F.F.M30%'!E23+'F.F.M.70%'!E23+'F.F.M.ESTIIMACIONES 2014'!E23</f>
        <v>1410329.2784608048</v>
      </c>
      <c r="F20" s="507">
        <f>'F.F.M30%'!F23+'F.F.M.70%'!F23+'F.F.M.ESTIIMACIONES 2014'!F23</f>
        <v>1775071.4946930963</v>
      </c>
      <c r="G20" s="507">
        <f>'F.F.M30%'!G23+'F.F.M.70%'!G23+'F.F.M.ESTIIMACIONES 2014'!G23</f>
        <v>1492528.2157295905</v>
      </c>
      <c r="H20" s="507">
        <f>'F.F.M30%'!H23+'F.F.M.70%'!H23+'F.F.M.ESTIIMACIONES 2014'!H23</f>
        <v>1561019.9437168674</v>
      </c>
      <c r="I20" s="507">
        <f>'F.F.M30%'!I23+'F.F.M.70%'!I23+'F.F.M.ESTIIMACIONES 2014'!I23</f>
        <v>1559815.1186825214</v>
      </c>
      <c r="J20" s="507">
        <f>'F.F.M30%'!J23+'F.F.M.70%'!J23+'F.F.M.ESTIIMACIONES 2014'!J23</f>
        <v>1475183.1335780541</v>
      </c>
      <c r="K20" s="507">
        <f>'F.F.M30%'!K23+'F.F.M.70%'!K23+'F.F.M.ESTIIMACIONES 2014'!K23</f>
        <v>1503188.3301423676</v>
      </c>
      <c r="L20" s="507">
        <f>'F.F.M30%'!L23+'F.F.M.70%'!L23+'F.F.M.ESTIIMACIONES 2014'!L23</f>
        <v>1402297.6894301588</v>
      </c>
      <c r="M20" s="507">
        <f>'F.F.M30%'!M23+'F.F.M.70%'!M23+'F.F.M.ESTIIMACIONES 2014'!M23</f>
        <v>1400323.2452801</v>
      </c>
      <c r="N20" s="507">
        <f>'F.F.M30%'!N23+'F.F.M.70%'!N23+'F.F.M.ESTIIMACIONES 2014'!N23</f>
        <v>1509694.0913459295</v>
      </c>
      <c r="O20" s="508">
        <f t="shared" si="0"/>
        <v>18286038.777559694</v>
      </c>
    </row>
    <row r="21" spans="1:18" x14ac:dyDescent="0.2">
      <c r="A21" s="505" t="s">
        <v>157</v>
      </c>
      <c r="B21" s="525"/>
      <c r="C21" s="507">
        <f>'F.F.M30%'!C24+'F.F.M.70%'!C24+'F.F.M.ESTIIMACIONES 2014'!C24</f>
        <v>17176720.118306685</v>
      </c>
      <c r="D21" s="507">
        <f>'F.F.M30%'!D24+'F.F.M.70%'!D24+'F.F.M.ESTIIMACIONES 2014'!D24</f>
        <v>22186182.482969083</v>
      </c>
      <c r="E21" s="507">
        <f>'F.F.M30%'!E24+'F.F.M.70%'!E24+'F.F.M.ESTIIMACIONES 2014'!E24</f>
        <v>17146048.270237282</v>
      </c>
      <c r="F21" s="507">
        <f>'F.F.M30%'!F24+'F.F.M.70%'!F24+'F.F.M.ESTIIMACIONES 2014'!F24</f>
        <v>22921559.749416657</v>
      </c>
      <c r="G21" s="507">
        <f>'F.F.M30%'!G24+'F.F.M.70%'!G24+'F.F.M.ESTIIMACIONES 2014'!G24</f>
        <v>19225513.536975306</v>
      </c>
      <c r="H21" s="507">
        <f>'F.F.M30%'!H24+'F.F.M.70%'!H24+'F.F.M.ESTIIMACIONES 2014'!H24</f>
        <v>19904456.726989456</v>
      </c>
      <c r="I21" s="507">
        <f>'F.F.M30%'!I24+'F.F.M.70%'!I24+'F.F.M.ESTIIMACIONES 2014'!I24</f>
        <v>18856770.398205988</v>
      </c>
      <c r="J21" s="507">
        <f>'F.F.M30%'!J24+'F.F.M.70%'!J24+'F.F.M.ESTIIMACIONES 2014'!J24</f>
        <v>18663143.365571842</v>
      </c>
      <c r="K21" s="507">
        <f>'F.F.M30%'!K24+'F.F.M.70%'!K24+'F.F.M.ESTIIMACIONES 2014'!K24</f>
        <v>18215682.248579375</v>
      </c>
      <c r="L21" s="507">
        <f>'F.F.M30%'!L24+'F.F.M.70%'!L24+'F.F.M.ESTIIMACIONES 2014'!L24</f>
        <v>16391960.265129834</v>
      </c>
      <c r="M21" s="507">
        <f>'F.F.M30%'!M24+'F.F.M.70%'!M24+'F.F.M.ESTIIMACIONES 2014'!M24</f>
        <v>17296594.833811641</v>
      </c>
      <c r="N21" s="507">
        <f>'F.F.M30%'!N24+'F.F.M.70%'!N24+'F.F.M.ESTIIMACIONES 2014'!N24</f>
        <v>18285019.170397263</v>
      </c>
      <c r="O21" s="508">
        <f t="shared" si="0"/>
        <v>226269651.16659045</v>
      </c>
    </row>
    <row r="22" spans="1:18" x14ac:dyDescent="0.2">
      <c r="A22" s="505" t="s">
        <v>158</v>
      </c>
      <c r="B22" s="525"/>
      <c r="C22" s="507">
        <f>'F.F.M30%'!C25+'F.F.M.70%'!C25+'F.F.M.ESTIIMACIONES 2014'!C25</f>
        <v>2371096.5462949448</v>
      </c>
      <c r="D22" s="507">
        <f>'F.F.M30%'!D25+'F.F.M.70%'!D25+'F.F.M.ESTIIMACIONES 2014'!D25</f>
        <v>3456357.1689664964</v>
      </c>
      <c r="E22" s="507">
        <f>'F.F.M30%'!E25+'F.F.M.70%'!E25+'F.F.M.ESTIIMACIONES 2014'!E25</f>
        <v>2431522.417893644</v>
      </c>
      <c r="F22" s="507">
        <f>'F.F.M30%'!F25+'F.F.M.70%'!F25+'F.F.M.ESTIIMACIONES 2014'!F25</f>
        <v>3907962.3949100534</v>
      </c>
      <c r="G22" s="507">
        <f>'F.F.M30%'!G25+'F.F.M.70%'!G25+'F.F.M.ESTIIMACIONES 2014'!G25</f>
        <v>3255866.6695931833</v>
      </c>
      <c r="H22" s="507">
        <f>'F.F.M30%'!H25+'F.F.M.70%'!H25+'F.F.M.ESTIIMACIONES 2014'!H25</f>
        <v>3276788.5881343931</v>
      </c>
      <c r="I22" s="507">
        <f>'F.F.M30%'!I25+'F.F.M.70%'!I25+'F.F.M.ESTIIMACIONES 2014'!I25</f>
        <v>2621847.8763961522</v>
      </c>
      <c r="J22" s="507">
        <f>'F.F.M30%'!J25+'F.F.M.70%'!J25+'F.F.M.ESTIIMACIONES 2014'!J25</f>
        <v>3003821.5588175231</v>
      </c>
      <c r="K22" s="507">
        <f>'F.F.M30%'!K25+'F.F.M.70%'!K25+'F.F.M.ESTIIMACIONES 2014'!K25</f>
        <v>2554143.6332414402</v>
      </c>
      <c r="L22" s="507">
        <f>'F.F.M30%'!L25+'F.F.M.70%'!L25+'F.F.M.ESTIIMACIONES 2014'!L25</f>
        <v>2002813.3903413475</v>
      </c>
      <c r="M22" s="507">
        <f>'F.F.M30%'!M25+'F.F.M.70%'!M25+'F.F.M.ESTIIMACIONES 2014'!M25</f>
        <v>2586293.7841837807</v>
      </c>
      <c r="N22" s="507">
        <f>'F.F.M30%'!N25+'F.F.M.70%'!N25+'F.F.M.ESTIIMACIONES 2014'!N25</f>
        <v>2559194.0004440248</v>
      </c>
      <c r="O22" s="508">
        <f t="shared" si="0"/>
        <v>34027708.02921699</v>
      </c>
      <c r="R22" s="509"/>
    </row>
    <row r="23" spans="1:18" ht="13.5" thickBot="1" x14ac:dyDescent="0.25">
      <c r="A23" s="505" t="s">
        <v>159</v>
      </c>
      <c r="B23" s="525"/>
      <c r="C23" s="507">
        <f>'F.F.M30%'!C26+'F.F.M.70%'!C26+'F.F.M.ESTIIMACIONES 2014'!C26</f>
        <v>1630771.515697073</v>
      </c>
      <c r="D23" s="507">
        <f>'F.F.M30%'!D26+'F.F.M.70%'!D26+'F.F.M.ESTIIMACIONES 2014'!D26</f>
        <v>2255286.3350111698</v>
      </c>
      <c r="E23" s="507">
        <f>'F.F.M30%'!E26+'F.F.M.70%'!E26+'F.F.M.ESTIIMACIONES 2014'!E26</f>
        <v>1652313.365442442</v>
      </c>
      <c r="F23" s="507">
        <f>'F.F.M30%'!F26+'F.F.M.70%'!F26+'F.F.M.ESTIIMACIONES 2014'!F26</f>
        <v>2457506.0467292881</v>
      </c>
      <c r="G23" s="507">
        <f>'F.F.M30%'!G26+'F.F.M.70%'!G26+'F.F.M.ESTIIMACIONES 2014'!G26</f>
        <v>2052939.2347322055</v>
      </c>
      <c r="H23" s="507">
        <f>'F.F.M30%'!H26+'F.F.M.70%'!H26+'F.F.M.ESTIIMACIONES 2014'!H26</f>
        <v>2089866.1392408418</v>
      </c>
      <c r="I23" s="507">
        <f>'F.F.M30%'!I26+'F.F.M.70%'!I26+'F.F.M.ESTIIMACIONES 2014'!I26</f>
        <v>1797400.0927621683</v>
      </c>
      <c r="J23" s="507">
        <f>'F.F.M30%'!J26+'F.F.M.70%'!J26+'F.F.M.ESTIIMACIONES 2014'!J26</f>
        <v>1933585.0215996727</v>
      </c>
      <c r="K23" s="507">
        <f>'F.F.M30%'!K26+'F.F.M.70%'!K26+'F.F.M.ESTIIMACIONES 2014'!K26</f>
        <v>1744398.1942947796</v>
      </c>
      <c r="L23" s="507">
        <f>'F.F.M30%'!L26+'F.F.M.70%'!L26+'F.F.M.ESTIIMACIONES 2014'!L26</f>
        <v>1457953.2232364288</v>
      </c>
      <c r="M23" s="507">
        <f>'F.F.M30%'!M26+'F.F.M.70%'!M26+'F.F.M.ESTIIMACIONES 2014'!M26</f>
        <v>1717280.2605846839</v>
      </c>
      <c r="N23" s="507">
        <f>'F.F.M30%'!N26+'F.F.M.70%'!N26+'F.F.M.ESTIIMACIONES 2014'!N26</f>
        <v>1749271.29304683</v>
      </c>
      <c r="O23" s="508">
        <f t="shared" si="0"/>
        <v>22538570.722377583</v>
      </c>
    </row>
    <row r="24" spans="1:18" ht="13.5" thickBot="1" x14ac:dyDescent="0.25">
      <c r="A24" s="510" t="s">
        <v>264</v>
      </c>
      <c r="B24" s="526">
        <f t="shared" ref="B24:N24" si="1">SUM(B4:B23)</f>
        <v>0</v>
      </c>
      <c r="C24" s="512">
        <f t="shared" si="1"/>
        <v>49683257.003376581</v>
      </c>
      <c r="D24" s="512">
        <f t="shared" si="1"/>
        <v>67337248.138559207</v>
      </c>
      <c r="E24" s="512">
        <f t="shared" si="1"/>
        <v>50114159.249773666</v>
      </c>
      <c r="F24" s="512">
        <f t="shared" si="1"/>
        <v>72277727.07249026</v>
      </c>
      <c r="G24" s="512">
        <f t="shared" si="1"/>
        <v>60446753.647698246</v>
      </c>
      <c r="H24" s="512">
        <f t="shared" si="1"/>
        <v>61825542.852046199</v>
      </c>
      <c r="I24" s="512">
        <f t="shared" si="1"/>
        <v>54694124.879864477</v>
      </c>
      <c r="J24" s="512">
        <f t="shared" si="1"/>
        <v>57418478.037124626</v>
      </c>
      <c r="K24" s="512">
        <f t="shared" si="1"/>
        <v>53006884.468336113</v>
      </c>
      <c r="L24" s="512">
        <f t="shared" si="1"/>
        <v>45324314.841493957</v>
      </c>
      <c r="M24" s="512">
        <f t="shared" si="1"/>
        <v>51626380.541841224</v>
      </c>
      <c r="N24" s="512">
        <f t="shared" si="1"/>
        <v>53171108.267395392</v>
      </c>
      <c r="O24" s="512">
        <f t="shared" si="0"/>
        <v>676925978.99999988</v>
      </c>
    </row>
    <row r="25" spans="1:18" x14ac:dyDescent="0.2">
      <c r="A25" s="514" t="s">
        <v>265</v>
      </c>
      <c r="M25" s="509"/>
      <c r="O25" s="509"/>
    </row>
    <row r="27" spans="1:18" x14ac:dyDescent="0.2">
      <c r="M27" s="509"/>
    </row>
    <row r="28" spans="1:18" x14ac:dyDescent="0.2">
      <c r="O28" s="509"/>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H30"/>
  <sheetViews>
    <sheetView workbookViewId="0">
      <selection sqref="A1:G1"/>
    </sheetView>
  </sheetViews>
  <sheetFormatPr baseColWidth="10" defaultRowHeight="15" x14ac:dyDescent="0.25"/>
  <cols>
    <col min="1" max="1" width="22.85546875" bestFit="1" customWidth="1"/>
    <col min="2" max="7" width="17" bestFit="1" customWidth="1"/>
  </cols>
  <sheetData>
    <row r="1" spans="1:8" x14ac:dyDescent="0.25">
      <c r="A1" s="979" t="s">
        <v>245</v>
      </c>
      <c r="B1" s="979"/>
      <c r="C1" s="979"/>
      <c r="D1" s="979"/>
      <c r="E1" s="979"/>
      <c r="F1" s="979"/>
      <c r="G1" s="979"/>
    </row>
    <row r="2" spans="1:8" x14ac:dyDescent="0.25">
      <c r="A2" s="979" t="s">
        <v>246</v>
      </c>
      <c r="B2" s="979"/>
      <c r="C2" s="979"/>
      <c r="D2" s="979"/>
      <c r="E2" s="979"/>
      <c r="F2" s="979"/>
      <c r="G2" s="979"/>
    </row>
    <row r="3" spans="1:8" ht="15.75" thickBot="1" x14ac:dyDescent="0.3">
      <c r="G3" s="961" t="s">
        <v>538</v>
      </c>
    </row>
    <row r="4" spans="1:8" x14ac:dyDescent="0.25">
      <c r="A4" s="974" t="s">
        <v>216</v>
      </c>
      <c r="B4" s="976">
        <v>2023</v>
      </c>
      <c r="C4" s="977"/>
      <c r="D4" s="978"/>
      <c r="E4" s="976">
        <v>2024</v>
      </c>
      <c r="F4" s="977"/>
      <c r="G4" s="978"/>
      <c r="H4" s="168"/>
    </row>
    <row r="5" spans="1:8" ht="15.75" thickBot="1" x14ac:dyDescent="0.3">
      <c r="A5" s="975"/>
      <c r="B5" s="147" t="s">
        <v>240</v>
      </c>
      <c r="C5" s="143" t="s">
        <v>247</v>
      </c>
      <c r="D5" s="390" t="s">
        <v>82</v>
      </c>
      <c r="E5" s="147" t="s">
        <v>240</v>
      </c>
      <c r="F5" s="143" t="s">
        <v>247</v>
      </c>
      <c r="G5" s="390" t="s">
        <v>82</v>
      </c>
      <c r="H5" s="117"/>
    </row>
    <row r="6" spans="1:8" x14ac:dyDescent="0.25">
      <c r="A6" s="380" t="s">
        <v>140</v>
      </c>
      <c r="B6" s="381">
        <v>4847909</v>
      </c>
      <c r="C6" s="382">
        <v>8076022</v>
      </c>
      <c r="D6" s="383">
        <f t="shared" ref="D6:D25" si="0">B6+C6</f>
        <v>12923931</v>
      </c>
      <c r="E6" s="384">
        <v>4605759.3499999996</v>
      </c>
      <c r="F6" s="382">
        <v>7276635.79</v>
      </c>
      <c r="G6" s="383">
        <f t="shared" ref="G6:G25" si="1">E6+F6</f>
        <v>11882395.140000001</v>
      </c>
    </row>
    <row r="7" spans="1:8" x14ac:dyDescent="0.25">
      <c r="A7" s="385" t="s">
        <v>141</v>
      </c>
      <c r="B7" s="386">
        <v>4069961</v>
      </c>
      <c r="C7" s="140">
        <v>3268773</v>
      </c>
      <c r="D7" s="387">
        <f t="shared" si="0"/>
        <v>7338734</v>
      </c>
      <c r="E7" s="388">
        <v>3447723.58</v>
      </c>
      <c r="F7" s="140">
        <v>4419499.3600000003</v>
      </c>
      <c r="G7" s="387">
        <f t="shared" si="1"/>
        <v>7867222.9400000004</v>
      </c>
    </row>
    <row r="8" spans="1:8" x14ac:dyDescent="0.25">
      <c r="A8" s="385" t="s">
        <v>142</v>
      </c>
      <c r="B8" s="386">
        <v>2470240</v>
      </c>
      <c r="C8" s="140">
        <v>1306603</v>
      </c>
      <c r="D8" s="387">
        <f t="shared" si="0"/>
        <v>3776843</v>
      </c>
      <c r="E8" s="388">
        <v>2151486.69</v>
      </c>
      <c r="F8" s="140">
        <v>1426818.06</v>
      </c>
      <c r="G8" s="387">
        <f t="shared" si="1"/>
        <v>3578304.75</v>
      </c>
    </row>
    <row r="9" spans="1:8" x14ac:dyDescent="0.25">
      <c r="A9" s="385" t="s">
        <v>143</v>
      </c>
      <c r="B9" s="386">
        <v>216507670</v>
      </c>
      <c r="C9" s="140">
        <v>170424761</v>
      </c>
      <c r="D9" s="387">
        <f t="shared" si="0"/>
        <v>386932431</v>
      </c>
      <c r="E9" s="388">
        <v>276615269.01999998</v>
      </c>
      <c r="F9" s="140">
        <v>173307404.09</v>
      </c>
      <c r="G9" s="387">
        <f t="shared" si="1"/>
        <v>449922673.11000001</v>
      </c>
    </row>
    <row r="10" spans="1:8" x14ac:dyDescent="0.25">
      <c r="A10" s="385" t="s">
        <v>144</v>
      </c>
      <c r="B10" s="386">
        <v>25326439</v>
      </c>
      <c r="C10" s="140">
        <v>43169320</v>
      </c>
      <c r="D10" s="387">
        <f t="shared" si="0"/>
        <v>68495759</v>
      </c>
      <c r="E10" s="388">
        <v>33489222.780000001</v>
      </c>
      <c r="F10" s="140">
        <v>48279101.509999998</v>
      </c>
      <c r="G10" s="387">
        <f t="shared" si="1"/>
        <v>81768324.289999992</v>
      </c>
    </row>
    <row r="11" spans="1:8" x14ac:dyDescent="0.25">
      <c r="A11" s="385" t="s">
        <v>145</v>
      </c>
      <c r="B11" s="386">
        <v>39812</v>
      </c>
      <c r="C11" s="140">
        <v>36744</v>
      </c>
      <c r="D11" s="387">
        <f t="shared" si="0"/>
        <v>76556</v>
      </c>
      <c r="E11" s="388">
        <v>97074.07</v>
      </c>
      <c r="F11" s="140">
        <v>52708.15</v>
      </c>
      <c r="G11" s="387">
        <f t="shared" si="1"/>
        <v>149782.22</v>
      </c>
    </row>
    <row r="12" spans="1:8" x14ac:dyDescent="0.25">
      <c r="A12" s="385" t="s">
        <v>146</v>
      </c>
      <c r="B12" s="386">
        <v>19686</v>
      </c>
      <c r="C12" s="140">
        <v>145353</v>
      </c>
      <c r="D12" s="387">
        <f t="shared" si="0"/>
        <v>165039</v>
      </c>
      <c r="E12" s="388">
        <v>13940.66</v>
      </c>
      <c r="F12" s="140">
        <v>146723</v>
      </c>
      <c r="G12" s="387">
        <f t="shared" si="1"/>
        <v>160663.66</v>
      </c>
    </row>
    <row r="13" spans="1:8" x14ac:dyDescent="0.25">
      <c r="A13" s="385" t="s">
        <v>147</v>
      </c>
      <c r="B13" s="386">
        <v>6656530</v>
      </c>
      <c r="C13" s="140">
        <v>9254702</v>
      </c>
      <c r="D13" s="387">
        <f t="shared" si="0"/>
        <v>15911232</v>
      </c>
      <c r="E13" s="388">
        <v>6683920.3499999996</v>
      </c>
      <c r="F13" s="140">
        <v>9023915.9700000007</v>
      </c>
      <c r="G13" s="387">
        <f t="shared" si="1"/>
        <v>15707836.32</v>
      </c>
    </row>
    <row r="14" spans="1:8" x14ac:dyDescent="0.25">
      <c r="A14" s="385" t="s">
        <v>148</v>
      </c>
      <c r="B14" s="386">
        <v>2308377</v>
      </c>
      <c r="C14" s="140">
        <v>3056752</v>
      </c>
      <c r="D14" s="387">
        <f t="shared" si="0"/>
        <v>5365129</v>
      </c>
      <c r="E14" s="388">
        <v>2427788.5299999998</v>
      </c>
      <c r="F14" s="140">
        <v>2814847.76</v>
      </c>
      <c r="G14" s="387">
        <f t="shared" si="1"/>
        <v>5242636.2899999991</v>
      </c>
    </row>
    <row r="15" spans="1:8" x14ac:dyDescent="0.25">
      <c r="A15" s="385" t="s">
        <v>149</v>
      </c>
      <c r="B15" s="386">
        <v>943205</v>
      </c>
      <c r="C15" s="140">
        <v>544554</v>
      </c>
      <c r="D15" s="387">
        <f t="shared" si="0"/>
        <v>1487759</v>
      </c>
      <c r="E15" s="388">
        <v>785279.52</v>
      </c>
      <c r="F15" s="140">
        <v>632350.5</v>
      </c>
      <c r="G15" s="387">
        <f t="shared" si="1"/>
        <v>1417630.02</v>
      </c>
    </row>
    <row r="16" spans="1:8" x14ac:dyDescent="0.25">
      <c r="A16" s="385" t="s">
        <v>150</v>
      </c>
      <c r="B16" s="386">
        <v>2182505</v>
      </c>
      <c r="C16" s="140">
        <v>1130676</v>
      </c>
      <c r="D16" s="387">
        <f t="shared" si="0"/>
        <v>3313181</v>
      </c>
      <c r="E16" s="388">
        <v>2687964.06</v>
      </c>
      <c r="F16" s="140">
        <v>1226876.02</v>
      </c>
      <c r="G16" s="387">
        <f t="shared" si="1"/>
        <v>3914840.08</v>
      </c>
    </row>
    <row r="17" spans="1:8" x14ac:dyDescent="0.25">
      <c r="A17" s="385" t="s">
        <v>151</v>
      </c>
      <c r="B17" s="386">
        <v>824295</v>
      </c>
      <c r="C17" s="140">
        <v>2812836</v>
      </c>
      <c r="D17" s="387">
        <f t="shared" si="0"/>
        <v>3637131</v>
      </c>
      <c r="E17" s="388">
        <v>650353.03</v>
      </c>
      <c r="F17" s="140">
        <v>2658148.25</v>
      </c>
      <c r="G17" s="387">
        <f t="shared" si="1"/>
        <v>3308501.2800000003</v>
      </c>
    </row>
    <row r="18" spans="1:8" x14ac:dyDescent="0.25">
      <c r="A18" s="385" t="s">
        <v>152</v>
      </c>
      <c r="B18" s="386">
        <v>3879447</v>
      </c>
      <c r="C18" s="140">
        <v>4935713</v>
      </c>
      <c r="D18" s="387">
        <f t="shared" si="0"/>
        <v>8815160</v>
      </c>
      <c r="E18" s="388">
        <v>3960601.93</v>
      </c>
      <c r="F18" s="140">
        <v>5371825.3899999997</v>
      </c>
      <c r="G18" s="387">
        <f t="shared" si="1"/>
        <v>9332427.3200000003</v>
      </c>
    </row>
    <row r="19" spans="1:8" x14ac:dyDescent="0.25">
      <c r="A19" s="385" t="s">
        <v>153</v>
      </c>
      <c r="B19" s="386">
        <v>1126785</v>
      </c>
      <c r="C19" s="140">
        <v>1347657</v>
      </c>
      <c r="D19" s="387">
        <f t="shared" si="0"/>
        <v>2474442</v>
      </c>
      <c r="E19" s="388">
        <v>1170338.5900000001</v>
      </c>
      <c r="F19" s="140">
        <v>1374227.31</v>
      </c>
      <c r="G19" s="387">
        <f t="shared" si="1"/>
        <v>2544565.9000000004</v>
      </c>
    </row>
    <row r="20" spans="1:8" x14ac:dyDescent="0.25">
      <c r="A20" s="385" t="s">
        <v>154</v>
      </c>
      <c r="B20" s="386">
        <v>3896403</v>
      </c>
      <c r="C20" s="140">
        <v>1631625</v>
      </c>
      <c r="D20" s="387">
        <f t="shared" si="0"/>
        <v>5528028</v>
      </c>
      <c r="E20" s="388">
        <v>3160422.9</v>
      </c>
      <c r="F20" s="140">
        <v>1732447.65</v>
      </c>
      <c r="G20" s="387">
        <f t="shared" si="1"/>
        <v>4892870.55</v>
      </c>
    </row>
    <row r="21" spans="1:8" x14ac:dyDescent="0.25">
      <c r="A21" s="385" t="s">
        <v>155</v>
      </c>
      <c r="B21" s="386">
        <v>7542434</v>
      </c>
      <c r="C21" s="140">
        <v>9224289</v>
      </c>
      <c r="D21" s="387">
        <f t="shared" si="0"/>
        <v>16766723</v>
      </c>
      <c r="E21" s="388">
        <v>9591506.0399999991</v>
      </c>
      <c r="F21" s="140">
        <v>18337689.350000001</v>
      </c>
      <c r="G21" s="387">
        <f t="shared" si="1"/>
        <v>27929195.390000001</v>
      </c>
    </row>
    <row r="22" spans="1:8" x14ac:dyDescent="0.25">
      <c r="A22" s="385" t="s">
        <v>156</v>
      </c>
      <c r="B22" s="386">
        <v>5428851</v>
      </c>
      <c r="C22" s="140">
        <v>2670730</v>
      </c>
      <c r="D22" s="387">
        <f t="shared" si="0"/>
        <v>8099581</v>
      </c>
      <c r="E22" s="388">
        <v>3027422.99</v>
      </c>
      <c r="F22" s="140">
        <v>3991945.62</v>
      </c>
      <c r="G22" s="387">
        <f t="shared" si="1"/>
        <v>7019368.6100000003</v>
      </c>
    </row>
    <row r="23" spans="1:8" x14ac:dyDescent="0.25">
      <c r="A23" s="385" t="s">
        <v>157</v>
      </c>
      <c r="B23" s="386">
        <v>92273088</v>
      </c>
      <c r="C23" s="140">
        <v>237151683</v>
      </c>
      <c r="D23" s="387">
        <f t="shared" si="0"/>
        <v>329424771</v>
      </c>
      <c r="E23" s="388">
        <v>89662839.430000007</v>
      </c>
      <c r="F23" s="140">
        <v>251828611.08000001</v>
      </c>
      <c r="G23" s="387">
        <f t="shared" si="1"/>
        <v>341491450.50999999</v>
      </c>
    </row>
    <row r="24" spans="1:8" x14ac:dyDescent="0.25">
      <c r="A24" s="385" t="s">
        <v>158</v>
      </c>
      <c r="B24" s="386">
        <v>2408062</v>
      </c>
      <c r="C24" s="140">
        <v>1645038</v>
      </c>
      <c r="D24" s="387">
        <f t="shared" si="0"/>
        <v>4053100</v>
      </c>
      <c r="E24" s="388">
        <v>3218818.87</v>
      </c>
      <c r="F24" s="140">
        <v>2032931.71</v>
      </c>
      <c r="G24" s="387">
        <f t="shared" si="1"/>
        <v>5251750.58</v>
      </c>
    </row>
    <row r="25" spans="1:8" ht="15.75" thickBot="1" x14ac:dyDescent="0.3">
      <c r="A25" s="389" t="s">
        <v>159</v>
      </c>
      <c r="B25" s="148">
        <v>19875122</v>
      </c>
      <c r="C25" s="144">
        <v>28558140</v>
      </c>
      <c r="D25" s="145">
        <f t="shared" si="0"/>
        <v>48433262</v>
      </c>
      <c r="E25" s="149">
        <v>15571309.58</v>
      </c>
      <c r="F25" s="144">
        <v>40491577.509999998</v>
      </c>
      <c r="G25" s="145">
        <f t="shared" si="1"/>
        <v>56062887.089999996</v>
      </c>
    </row>
    <row r="26" spans="1:8" ht="15.75" thickBot="1" x14ac:dyDescent="0.3">
      <c r="A26" s="146" t="s">
        <v>65</v>
      </c>
      <c r="B26" s="148">
        <f>SUM(B6:B25)</f>
        <v>402626821</v>
      </c>
      <c r="C26" s="144">
        <f t="shared" ref="C26" si="2">SUM(C6:C25)</f>
        <v>530391971</v>
      </c>
      <c r="D26" s="145">
        <f>SUM(D6:D25)</f>
        <v>933018792</v>
      </c>
      <c r="E26" s="149">
        <f>SUM(E6:E25)</f>
        <v>463019041.96999991</v>
      </c>
      <c r="F26" s="149">
        <f>SUM(F6:F25)</f>
        <v>576426284.08000004</v>
      </c>
      <c r="G26" s="145">
        <f>SUM(G6:G25)</f>
        <v>1039445326.0500001</v>
      </c>
      <c r="H26" s="169"/>
    </row>
    <row r="29" spans="1:8" x14ac:dyDescent="0.25">
      <c r="C29" s="99"/>
      <c r="E29" s="119"/>
    </row>
    <row r="30" spans="1:8" x14ac:dyDescent="0.25">
      <c r="F30" s="119"/>
    </row>
  </sheetData>
  <mergeCells count="5">
    <mergeCell ref="A4:A5"/>
    <mergeCell ref="B4:D4"/>
    <mergeCell ref="E4:G4"/>
    <mergeCell ref="A1:G1"/>
    <mergeCell ref="A2:G2"/>
  </mergeCells>
  <printOptions horizontalCentered="1"/>
  <pageMargins left="0.70866141732283472" right="0.70866141732283472" top="0.74803149606299213" bottom="0.74803149606299213" header="0.31496062992125984" footer="0.31496062992125984"/>
  <pageSetup scale="9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O35"/>
  <sheetViews>
    <sheetView workbookViewId="0">
      <selection sqref="A1:O1"/>
    </sheetView>
  </sheetViews>
  <sheetFormatPr baseColWidth="10" defaultRowHeight="12.75" x14ac:dyDescent="0.2"/>
  <cols>
    <col min="1" max="1" width="16.85546875" style="500" customWidth="1"/>
    <col min="2" max="2" width="9.28515625" style="500" hidden="1" customWidth="1"/>
    <col min="3" max="10" width="9.7109375" style="500" customWidth="1"/>
    <col min="11" max="11" width="11.7109375" style="500" customWidth="1"/>
    <col min="12" max="14" width="9.7109375" style="500" customWidth="1"/>
    <col min="15" max="15" width="11.42578125" style="500" bestFit="1" customWidth="1"/>
    <col min="16" max="16384" width="11.42578125" style="500"/>
  </cols>
  <sheetData>
    <row r="1" spans="1:15" x14ac:dyDescent="0.2">
      <c r="A1" s="1193" t="s">
        <v>434</v>
      </c>
      <c r="B1" s="1193"/>
      <c r="C1" s="1193"/>
      <c r="D1" s="1193"/>
      <c r="E1" s="1193"/>
      <c r="F1" s="1193"/>
      <c r="G1" s="1193"/>
      <c r="H1" s="1193"/>
      <c r="I1" s="1193"/>
      <c r="J1" s="1193"/>
      <c r="K1" s="1193"/>
      <c r="L1" s="1193"/>
      <c r="M1" s="1193"/>
      <c r="N1" s="1193"/>
      <c r="O1" s="1193"/>
    </row>
    <row r="2" spans="1:15" ht="13.5" thickBot="1" x14ac:dyDescent="0.25">
      <c r="O2" s="965" t="s">
        <v>553</v>
      </c>
    </row>
    <row r="3" spans="1:15" ht="34.5" thickBot="1" x14ac:dyDescent="0.25">
      <c r="A3" s="777" t="s">
        <v>13</v>
      </c>
      <c r="B3" s="781"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5" x14ac:dyDescent="0.2">
      <c r="A4" s="505" t="s">
        <v>258</v>
      </c>
      <c r="B4" s="516"/>
      <c r="C4" s="507">
        <f>'IEPS INCREMENTO'!C7+'IEPS ESTIMACIONES'!C7</f>
        <v>150706.44169397454</v>
      </c>
      <c r="D4" s="507">
        <f>'IEPS INCREMENTO'!D7+'IEPS ESTIMACIONES'!D7</f>
        <v>368029.40232338058</v>
      </c>
      <c r="E4" s="507">
        <f>'IEPS INCREMENTO'!E7+'IEPS ESTIMACIONES'!E7</f>
        <v>162291.44269457646</v>
      </c>
      <c r="F4" s="507">
        <f>'IEPS INCREMENTO'!F7+'IEPS ESTIMACIONES'!F7</f>
        <v>154674.14590017434</v>
      </c>
      <c r="G4" s="507">
        <f>'IEPS INCREMENTO'!G7+'IEPS ESTIMACIONES'!G7</f>
        <v>165566.74828318498</v>
      </c>
      <c r="H4" s="507">
        <f>'IEPS INCREMENTO'!H7+'IEPS ESTIMACIONES'!H7</f>
        <v>199250.24451629078</v>
      </c>
      <c r="I4" s="507">
        <f>'IEPS INCREMENTO'!I7+'IEPS ESTIMACIONES'!I7</f>
        <v>185502.67843020917</v>
      </c>
      <c r="J4" s="507">
        <f>'IEPS INCREMENTO'!J7+'IEPS ESTIMACIONES'!J7</f>
        <v>205426.79371709656</v>
      </c>
      <c r="K4" s="507">
        <f>'IEPS INCREMENTO'!K7+'IEPS ESTIMACIONES'!K7</f>
        <v>207532.75712484994</v>
      </c>
      <c r="L4" s="507">
        <f>'IEPS INCREMENTO'!L7+'IEPS ESTIMACIONES'!L7</f>
        <v>252301.48605442909</v>
      </c>
      <c r="M4" s="507">
        <f>'IEPS INCREMENTO'!M7+'IEPS ESTIMACIONES'!M7</f>
        <v>197039.37769368326</v>
      </c>
      <c r="N4" s="507">
        <f>'IEPS INCREMENTO'!N7+'IEPS ESTIMACIONES'!N7</f>
        <v>198662.41531815025</v>
      </c>
      <c r="O4" s="508">
        <f>SUM(C4:N4)</f>
        <v>2446983.9337499999</v>
      </c>
    </row>
    <row r="5" spans="1:15" x14ac:dyDescent="0.2">
      <c r="A5" s="505" t="s">
        <v>141</v>
      </c>
      <c r="B5" s="517"/>
      <c r="C5" s="507">
        <f>'IEPS INCREMENTO'!C8+'IEPS ESTIMACIONES'!C8</f>
        <v>177308.70727517779</v>
      </c>
      <c r="D5" s="507">
        <f>'IEPS INCREMENTO'!D8+'IEPS ESTIMACIONES'!D8</f>
        <v>408615.27107447083</v>
      </c>
      <c r="E5" s="507">
        <f>'IEPS INCREMENTO'!E8+'IEPS ESTIMACIONES'!E8</f>
        <v>190193.24313060331</v>
      </c>
      <c r="F5" s="507">
        <f>'IEPS INCREMENTO'!F8+'IEPS ESTIMACIONES'!F8</f>
        <v>186368.83838793743</v>
      </c>
      <c r="G5" s="507">
        <f>'IEPS INCREMENTO'!G8+'IEPS ESTIMACIONES'!G8</f>
        <v>195763.65280142095</v>
      </c>
      <c r="H5" s="507">
        <f>'IEPS INCREMENTO'!H8+'IEPS ESTIMACIONES'!H8</f>
        <v>230819.76972765863</v>
      </c>
      <c r="I5" s="507">
        <f>'IEPS INCREMENTO'!I8+'IEPS ESTIMACIONES'!I8</f>
        <v>217584.32640805843</v>
      </c>
      <c r="J5" s="507">
        <f>'IEPS INCREMENTO'!J8+'IEPS ESTIMACIONES'!J8</f>
        <v>238709.88375255855</v>
      </c>
      <c r="K5" s="507">
        <f>'IEPS INCREMENTO'!K8+'IEPS ESTIMACIONES'!K8</f>
        <v>239732.44244507438</v>
      </c>
      <c r="L5" s="507">
        <f>'IEPS INCREMENTO'!L8+'IEPS ESTIMACIONES'!L8</f>
        <v>283773.58890720166</v>
      </c>
      <c r="M5" s="507">
        <f>'IEPS INCREMENTO'!M8+'IEPS ESTIMACIONES'!M8</f>
        <v>227796.53203303614</v>
      </c>
      <c r="N5" s="507">
        <f>'IEPS INCREMENTO'!N8+'IEPS ESTIMACIONES'!N8</f>
        <v>229541.67780680192</v>
      </c>
      <c r="O5" s="508">
        <f t="shared" ref="O5:O23" si="0">SUM(C5:N5)</f>
        <v>2826207.9337500003</v>
      </c>
    </row>
    <row r="6" spans="1:15" x14ac:dyDescent="0.2">
      <c r="A6" s="505" t="s">
        <v>142</v>
      </c>
      <c r="B6" s="517"/>
      <c r="C6" s="507">
        <f>'IEPS INCREMENTO'!C9+'IEPS ESTIMACIONES'!C9</f>
        <v>182224.34330648708</v>
      </c>
      <c r="D6" s="507">
        <f>'IEPS INCREMENTO'!D9+'IEPS ESTIMACIONES'!D9</f>
        <v>416114.83377847663</v>
      </c>
      <c r="E6" s="507">
        <f>'IEPS INCREMENTO'!E9+'IEPS ESTIMACIONES'!E9</f>
        <v>195349.01060247782</v>
      </c>
      <c r="F6" s="507">
        <f>'IEPS INCREMENTO'!F9+'IEPS ESTIMACIONES'!F9</f>
        <v>192225.46634763278</v>
      </c>
      <c r="G6" s="507">
        <f>'IEPS INCREMENTO'!G9+'IEPS ESTIMACIONES'!G9</f>
        <v>201343.5155928341</v>
      </c>
      <c r="H6" s="507">
        <f>'IEPS INCREMENTO'!H9+'IEPS ESTIMACIONES'!H9</f>
        <v>236653.26895149832</v>
      </c>
      <c r="I6" s="507">
        <f>'IEPS INCREMENTO'!I9+'IEPS ESTIMACIONES'!I9</f>
        <v>223512.45701266103</v>
      </c>
      <c r="J6" s="507">
        <f>'IEPS INCREMENTO'!J9+'IEPS ESTIMACIONES'!J9</f>
        <v>244860.01995476347</v>
      </c>
      <c r="K6" s="507">
        <f>'IEPS INCREMENTO'!K9+'IEPS ESTIMACIONES'!K9</f>
        <v>245682.38429772455</v>
      </c>
      <c r="L6" s="507">
        <f>'IEPS INCREMENTO'!L9+'IEPS ESTIMACIONES'!L9</f>
        <v>289589.08617347485</v>
      </c>
      <c r="M6" s="507">
        <f>'IEPS INCREMENTO'!M9+'IEPS ESTIMACIONES'!M9</f>
        <v>233479.91924791658</v>
      </c>
      <c r="N6" s="507">
        <f>'IEPS INCREMENTO'!N9+'IEPS ESTIMACIONES'!N9</f>
        <v>235247.62848405278</v>
      </c>
      <c r="O6" s="508">
        <f t="shared" si="0"/>
        <v>2896281.9337499999</v>
      </c>
    </row>
    <row r="7" spans="1:15" x14ac:dyDescent="0.2">
      <c r="A7" s="312" t="s">
        <v>349</v>
      </c>
      <c r="B7" s="517"/>
      <c r="C7" s="507">
        <f>'IEPS INCREMENTO'!C10+'IEPS ESTIMACIONES'!C10</f>
        <v>167188.28015189397</v>
      </c>
      <c r="D7" s="507">
        <f>'IEPS INCREMENTO'!D10+'IEPS ESTIMACIONES'!D10</f>
        <v>393174.99491916475</v>
      </c>
      <c r="E7" s="507">
        <f>'IEPS INCREMENTO'!E10+'IEPS ESTIMACIONES'!E10</f>
        <v>179578.42774733223</v>
      </c>
      <c r="F7" s="507">
        <f>'IEPS INCREMENTO'!F10+'IEPS ESTIMACIONES'!F10</f>
        <v>174311.07494150582</v>
      </c>
      <c r="G7" s="507">
        <f>'IEPS INCREMENTO'!G10+'IEPS ESTIMACIONES'!G10</f>
        <v>184275.69999557029</v>
      </c>
      <c r="H7" s="507">
        <f>'IEPS INCREMENTO'!H10+'IEPS ESTIMACIONES'!H10</f>
        <v>218809.62426681217</v>
      </c>
      <c r="I7" s="507">
        <f>'IEPS INCREMENTO'!I10+'IEPS ESTIMACIONES'!I10</f>
        <v>205379.35163387665</v>
      </c>
      <c r="J7" s="507">
        <f>'IEPS INCREMENTO'!J10+'IEPS ESTIMACIONES'!J10</f>
        <v>226047.83863037193</v>
      </c>
      <c r="K7" s="507">
        <f>'IEPS INCREMENTO'!K10+'IEPS ESTIMACIONES'!K10</f>
        <v>227482.56216020638</v>
      </c>
      <c r="L7" s="507">
        <f>'IEPS INCREMENTO'!L10+'IEPS ESTIMACIONES'!L10</f>
        <v>271800.50630016858</v>
      </c>
      <c r="M7" s="507">
        <f>'IEPS INCREMENTO'!M10+'IEPS ESTIMACIONES'!M10</f>
        <v>216095.44070828235</v>
      </c>
      <c r="N7" s="507">
        <f>'IEPS INCREMENTO'!N10+'IEPS ESTIMACIONES'!N10</f>
        <v>217794.13229481486</v>
      </c>
      <c r="O7" s="508">
        <f t="shared" si="0"/>
        <v>2681937.9337499999</v>
      </c>
    </row>
    <row r="8" spans="1:15" x14ac:dyDescent="0.2">
      <c r="A8" s="505" t="s">
        <v>144</v>
      </c>
      <c r="B8" s="517"/>
      <c r="C8" s="507">
        <f>'IEPS INCREMENTO'!C11+'IEPS ESTIMACIONES'!C11</f>
        <v>138128.19655503606</v>
      </c>
      <c r="D8" s="507">
        <f>'IEPS INCREMENTO'!D11+'IEPS ESTIMACIONES'!D11</f>
        <v>348839.34481607156</v>
      </c>
      <c r="E8" s="507">
        <f>'IEPS INCREMENTO'!E11+'IEPS ESTIMACIONES'!E11</f>
        <v>149098.74357536813</v>
      </c>
      <c r="F8" s="507">
        <f>'IEPS INCREMENTO'!F11+'IEPS ESTIMACIONES'!F11</f>
        <v>139688.06847389508</v>
      </c>
      <c r="G8" s="507">
        <f>'IEPS INCREMENTO'!G11+'IEPS ESTIMACIONES'!G11</f>
        <v>151288.86408162775</v>
      </c>
      <c r="H8" s="507">
        <f>'IEPS INCREMENTO'!H11+'IEPS ESTIMACIONES'!H11</f>
        <v>184323.34944352449</v>
      </c>
      <c r="I8" s="507">
        <f>'IEPS INCREMENTO'!I11+'IEPS ESTIMACIONES'!I11</f>
        <v>170333.6383537261</v>
      </c>
      <c r="J8" s="507">
        <f>'IEPS INCREMENTO'!J11+'IEPS ESTIMACIONES'!J11</f>
        <v>189689.68049380748</v>
      </c>
      <c r="K8" s="507">
        <f>'IEPS INCREMENTO'!K11+'IEPS ESTIMACIONES'!K11</f>
        <v>192307.90591365687</v>
      </c>
      <c r="L8" s="507">
        <f>'IEPS INCREMENTO'!L11+'IEPS ESTIMACIONES'!L11</f>
        <v>237420.65481425944</v>
      </c>
      <c r="M8" s="507">
        <f>'IEPS INCREMENTO'!M11+'IEPS ESTIMACIONES'!M11</f>
        <v>182496.59276148921</v>
      </c>
      <c r="N8" s="507">
        <f>'IEPS INCREMENTO'!N11+'IEPS ESTIMACIONES'!N11</f>
        <v>184061.89446753776</v>
      </c>
      <c r="O8" s="508">
        <f t="shared" si="0"/>
        <v>2267676.9337499999</v>
      </c>
    </row>
    <row r="9" spans="1:15" x14ac:dyDescent="0.2">
      <c r="A9" s="505" t="s">
        <v>260</v>
      </c>
      <c r="B9" s="517"/>
      <c r="C9" s="507">
        <f>'IEPS INCREMENTO'!C12+'IEPS ESTIMACIONES'!C12</f>
        <v>231236.12608924741</v>
      </c>
      <c r="D9" s="507">
        <f>'IEPS INCREMENTO'!D12+'IEPS ESTIMACIONES'!D12</f>
        <v>490889.88544488756</v>
      </c>
      <c r="E9" s="507">
        <f>'IEPS INCREMENTO'!E12+'IEPS ESTIMACIONES'!E12</f>
        <v>246755.04510146211</v>
      </c>
      <c r="F9" s="507">
        <f>'IEPS INCREMENTO'!F12+'IEPS ESTIMACIONES'!F12</f>
        <v>250619.49218106584</v>
      </c>
      <c r="G9" s="507">
        <f>'IEPS INCREMENTO'!G12+'IEPS ESTIMACIONES'!G12</f>
        <v>256978.0298954536</v>
      </c>
      <c r="H9" s="507">
        <f>'IEPS INCREMENTO'!H12+'IEPS ESTIMACIONES'!H12</f>
        <v>294816.68768331193</v>
      </c>
      <c r="I9" s="507">
        <f>'IEPS INCREMENTO'!I12+'IEPS ESTIMACIONES'!I12</f>
        <v>282619.40627619851</v>
      </c>
      <c r="J9" s="507">
        <f>'IEPS INCREMENTO'!J12+'IEPS ESTIMACIONES'!J12</f>
        <v>306180.49561792449</v>
      </c>
      <c r="K9" s="507">
        <f>'IEPS INCREMENTO'!K12+'IEPS ESTIMACIONES'!K12</f>
        <v>305006.80453444237</v>
      </c>
      <c r="L9" s="507">
        <f>'IEPS INCREMENTO'!L12+'IEPS ESTIMACIONES'!L12</f>
        <v>347573.01479896344</v>
      </c>
      <c r="M9" s="507">
        <f>'IEPS INCREMENTO'!M12+'IEPS ESTIMACIONES'!M12</f>
        <v>290146.63294922438</v>
      </c>
      <c r="N9" s="507">
        <f>'IEPS INCREMENTO'!N12+'IEPS ESTIMACIONES'!N12</f>
        <v>292139.31317781867</v>
      </c>
      <c r="O9" s="508">
        <f t="shared" si="0"/>
        <v>3594960.9337499999</v>
      </c>
    </row>
    <row r="10" spans="1:15" x14ac:dyDescent="0.2">
      <c r="A10" s="505" t="s">
        <v>146</v>
      </c>
      <c r="B10" s="517"/>
      <c r="C10" s="507">
        <f>'IEPS INCREMENTO'!C13+'IEPS ESTIMACIONES'!C13</f>
        <v>228633.73054326011</v>
      </c>
      <c r="D10" s="507">
        <f>'IEPS INCREMENTO'!D13+'IEPS ESTIMACIONES'!D13</f>
        <v>486919.52871923742</v>
      </c>
      <c r="E10" s="507">
        <f>'IEPS INCREMENTO'!E13+'IEPS ESTIMACIONES'!E13</f>
        <v>244025.52114576381</v>
      </c>
      <c r="F10" s="507">
        <f>'IEPS INCREMENTO'!F13+'IEPS ESTIMACIONES'!F13</f>
        <v>247518.92443769774</v>
      </c>
      <c r="G10" s="507">
        <f>'IEPS INCREMENTO'!G13+'IEPS ESTIMACIONES'!G13</f>
        <v>254023.98488823487</v>
      </c>
      <c r="H10" s="507">
        <f>'IEPS INCREMENTO'!H13+'IEPS ESTIMACIONES'!H13</f>
        <v>291728.36456480855</v>
      </c>
      <c r="I10" s="507">
        <f>'IEPS INCREMENTO'!I13+'IEPS ESTIMACIONES'!I13</f>
        <v>279480.9841914089</v>
      </c>
      <c r="J10" s="507">
        <f>'IEPS INCREMENTO'!J13+'IEPS ESTIMACIONES'!J13</f>
        <v>302924.54115793359</v>
      </c>
      <c r="K10" s="507">
        <f>'IEPS INCREMENTO'!K13+'IEPS ESTIMACIONES'!K13</f>
        <v>301856.83531833347</v>
      </c>
      <c r="L10" s="507">
        <f>'IEPS INCREMENTO'!L13+'IEPS ESTIMACIONES'!L13</f>
        <v>344494.22212858347</v>
      </c>
      <c r="M10" s="507">
        <f>'IEPS INCREMENTO'!M13+'IEPS ESTIMACIONES'!M13</f>
        <v>287137.78089428769</v>
      </c>
      <c r="N10" s="507">
        <f>'IEPS INCREMENTO'!N13+'IEPS ESTIMACIONES'!N13</f>
        <v>289118.51576045051</v>
      </c>
      <c r="O10" s="508">
        <f t="shared" si="0"/>
        <v>3557862.9337500003</v>
      </c>
    </row>
    <row r="11" spans="1:15" x14ac:dyDescent="0.2">
      <c r="A11" s="505" t="s">
        <v>147</v>
      </c>
      <c r="B11" s="517"/>
      <c r="C11" s="507">
        <f>'IEPS INCREMENTO'!C14+'IEPS ESTIMACIONES'!C14</f>
        <v>159091.93845326686</v>
      </c>
      <c r="D11" s="507">
        <f>'IEPS INCREMENTO'!D14+'IEPS ESTIMACIONES'!D14</f>
        <v>380822.77399491984</v>
      </c>
      <c r="E11" s="507">
        <f>'IEPS INCREMENTO'!E14+'IEPS ESTIMACIONES'!E14</f>
        <v>171086.57544071536</v>
      </c>
      <c r="F11" s="507">
        <f>'IEPS INCREMENTO'!F14+'IEPS ESTIMACIONES'!F14</f>
        <v>164664.86418436054</v>
      </c>
      <c r="G11" s="507">
        <f>'IEPS INCREMENTO'!G14+'IEPS ESTIMACIONES'!G14</f>
        <v>175085.33775088977</v>
      </c>
      <c r="H11" s="507">
        <f>'IEPS INCREMENTO'!H14+'IEPS ESTIMACIONES'!H14</f>
        <v>209201.50789813499</v>
      </c>
      <c r="I11" s="507">
        <f>'IEPS INCREMENTO'!I14+'IEPS ESTIMACIONES'!I14</f>
        <v>195615.37181453122</v>
      </c>
      <c r="J11" s="507">
        <f>'IEPS INCREMENTO'!J14+'IEPS ESTIMACIONES'!J14</f>
        <v>215918.20253262261</v>
      </c>
      <c r="K11" s="507">
        <f>'IEPS INCREMENTO'!K14+'IEPS ESTIMACIONES'!K14</f>
        <v>217682.65793231199</v>
      </c>
      <c r="L11" s="507">
        <f>'IEPS INCREMENTO'!L14+'IEPS ESTIMACIONES'!L14</f>
        <v>262222.04021454218</v>
      </c>
      <c r="M11" s="507">
        <f>'IEPS INCREMENTO'!M14+'IEPS ESTIMACIONES'!M14</f>
        <v>206734.56764847925</v>
      </c>
      <c r="N11" s="507">
        <f>'IEPS INCREMENTO'!N14+'IEPS ESTIMACIONES'!N14</f>
        <v>208396.09588522522</v>
      </c>
      <c r="O11" s="508">
        <f t="shared" si="0"/>
        <v>2566521.9337499994</v>
      </c>
    </row>
    <row r="12" spans="1:15" x14ac:dyDescent="0.2">
      <c r="A12" s="505" t="s">
        <v>148</v>
      </c>
      <c r="B12" s="517"/>
      <c r="C12" s="507">
        <f>'IEPS INCREMENTO'!C15+'IEPS ESTIMACIONES'!C15</f>
        <v>167188.28015189397</v>
      </c>
      <c r="D12" s="507">
        <f>'IEPS INCREMENTO'!D15+'IEPS ESTIMACIONES'!D15</f>
        <v>393174.99491916475</v>
      </c>
      <c r="E12" s="507">
        <f>'IEPS INCREMENTO'!E15+'IEPS ESTIMACIONES'!E15</f>
        <v>179578.42774733223</v>
      </c>
      <c r="F12" s="507">
        <f>'IEPS INCREMENTO'!F15+'IEPS ESTIMACIONES'!F15</f>
        <v>174311.07494150582</v>
      </c>
      <c r="G12" s="507">
        <f>'IEPS INCREMENTO'!G15+'IEPS ESTIMACIONES'!G15</f>
        <v>184275.69999557029</v>
      </c>
      <c r="H12" s="507">
        <f>'IEPS INCREMENTO'!H15+'IEPS ESTIMACIONES'!H15</f>
        <v>218809.62426681217</v>
      </c>
      <c r="I12" s="507">
        <f>'IEPS INCREMENTO'!I15+'IEPS ESTIMACIONES'!I15</f>
        <v>205379.35163387665</v>
      </c>
      <c r="J12" s="507">
        <f>'IEPS INCREMENTO'!J15+'IEPS ESTIMACIONES'!J15</f>
        <v>226047.83863037193</v>
      </c>
      <c r="K12" s="507">
        <f>'IEPS INCREMENTO'!K15+'IEPS ESTIMACIONES'!K15</f>
        <v>227482.56216020638</v>
      </c>
      <c r="L12" s="507">
        <f>'IEPS INCREMENTO'!L15+'IEPS ESTIMACIONES'!L15</f>
        <v>271800.50630016858</v>
      </c>
      <c r="M12" s="507">
        <f>'IEPS INCREMENTO'!M15+'IEPS ESTIMACIONES'!M15</f>
        <v>216095.44070828235</v>
      </c>
      <c r="N12" s="507">
        <f>'IEPS INCREMENTO'!N15+'IEPS ESTIMACIONES'!N15</f>
        <v>217794.13229481486</v>
      </c>
      <c r="O12" s="508">
        <f t="shared" si="0"/>
        <v>2681937.9337499999</v>
      </c>
    </row>
    <row r="13" spans="1:15" x14ac:dyDescent="0.2">
      <c r="A13" s="505" t="s">
        <v>149</v>
      </c>
      <c r="B13" s="517"/>
      <c r="C13" s="507">
        <f>'IEPS INCREMENTO'!C16+'IEPS ESTIMACIONES'!C16</f>
        <v>222706.05179962245</v>
      </c>
      <c r="D13" s="507">
        <f>'IEPS INCREMENTO'!D16+'IEPS ESTIMACIONES'!D16</f>
        <v>477875.93839970103</v>
      </c>
      <c r="E13" s="507">
        <f>'IEPS INCREMENTO'!E16+'IEPS ESTIMACIONES'!E16</f>
        <v>237808.27213556218</v>
      </c>
      <c r="F13" s="507">
        <f>'IEPS INCREMENTO'!F16+'IEPS ESTIMACIONES'!F16</f>
        <v>240456.52013335924</v>
      </c>
      <c r="G13" s="507">
        <f>'IEPS INCREMENTO'!G16+'IEPS ESTIMACIONES'!G16</f>
        <v>247295.32681623666</v>
      </c>
      <c r="H13" s="507">
        <f>'IEPS INCREMENTO'!H16+'IEPS ESTIMACIONES'!H16</f>
        <v>284693.85079488414</v>
      </c>
      <c r="I13" s="507">
        <f>'IEPS INCREMENTO'!I16+'IEPS ESTIMACIONES'!I16</f>
        <v>272332.35610938817</v>
      </c>
      <c r="J13" s="507">
        <f>'IEPS INCREMENTO'!J16+'IEPS ESTIMACIONES'!J16</f>
        <v>295508.20044350997</v>
      </c>
      <c r="K13" s="507">
        <f>'IEPS INCREMENTO'!K16+'IEPS ESTIMACIONES'!K16</f>
        <v>294681.90543719649</v>
      </c>
      <c r="L13" s="507">
        <f>'IEPS INCREMENTO'!L16+'IEPS ESTIMACIONES'!L16</f>
        <v>337481.41660160699</v>
      </c>
      <c r="M13" s="507">
        <f>'IEPS INCREMENTO'!M16+'IEPS ESTIMACIONES'!M16</f>
        <v>280284.28454693186</v>
      </c>
      <c r="N13" s="507">
        <f>'IEPS INCREMENTO'!N16+'IEPS ESTIMACIONES'!N16</f>
        <v>282237.81053200096</v>
      </c>
      <c r="O13" s="508">
        <f t="shared" si="0"/>
        <v>3473361.9337499999</v>
      </c>
    </row>
    <row r="14" spans="1:15" x14ac:dyDescent="0.2">
      <c r="A14" s="505" t="s">
        <v>150</v>
      </c>
      <c r="B14" s="517"/>
      <c r="C14" s="507">
        <f>'IEPS INCREMENTO'!C17+'IEPS ESTIMACIONES'!C17</f>
        <v>166320.8149698982</v>
      </c>
      <c r="D14" s="507">
        <f>'IEPS INCREMENTO'!D17+'IEPS ESTIMACIONES'!D17</f>
        <v>391851.54267728137</v>
      </c>
      <c r="E14" s="507">
        <f>'IEPS INCREMENTO'!E17+'IEPS ESTIMACIONES'!E17</f>
        <v>178668.58642876614</v>
      </c>
      <c r="F14" s="507">
        <f>'IEPS INCREMENTO'!F17+'IEPS ESTIMACIONES'!F17</f>
        <v>173277.55236038312</v>
      </c>
      <c r="G14" s="507">
        <f>'IEPS INCREMENTO'!G17+'IEPS ESTIMACIONES'!G17</f>
        <v>183291.0183264974</v>
      </c>
      <c r="H14" s="507">
        <f>'IEPS INCREMENTO'!H17+'IEPS ESTIMACIONES'!H17</f>
        <v>217780.18322731106</v>
      </c>
      <c r="I14" s="507">
        <f>'IEPS INCREMENTO'!I17+'IEPS ESTIMACIONES'!I17</f>
        <v>204333.21093894678</v>
      </c>
      <c r="J14" s="507">
        <f>'IEPS INCREMENTO'!J17+'IEPS ESTIMACIONES'!J17</f>
        <v>224962.52047704166</v>
      </c>
      <c r="K14" s="507">
        <f>'IEPS INCREMENTO'!K17+'IEPS ESTIMACIONES'!K17</f>
        <v>226432.57242150343</v>
      </c>
      <c r="L14" s="507">
        <f>'IEPS INCREMENTO'!L17+'IEPS ESTIMACIONES'!L17</f>
        <v>270774.24207670864</v>
      </c>
      <c r="M14" s="507">
        <f>'IEPS INCREMENTO'!M17+'IEPS ESTIMACIONES'!M17</f>
        <v>215092.49002330343</v>
      </c>
      <c r="N14" s="507">
        <f>'IEPS INCREMENTO'!N17+'IEPS ESTIMACIONES'!N17</f>
        <v>216787.19982235885</v>
      </c>
      <c r="O14" s="508">
        <f t="shared" si="0"/>
        <v>2669571.9337499999</v>
      </c>
    </row>
    <row r="15" spans="1:15" x14ac:dyDescent="0.2">
      <c r="A15" s="505" t="s">
        <v>151</v>
      </c>
      <c r="B15" s="517"/>
      <c r="C15" s="507">
        <f>'IEPS INCREMENTO'!C18+'IEPS ESTIMACIONES'!C18</f>
        <v>155766.65525561647</v>
      </c>
      <c r="D15" s="507">
        <f>'IEPS INCREMENTO'!D18+'IEPS ESTIMACIONES'!D18</f>
        <v>375749.54040103359</v>
      </c>
      <c r="E15" s="507">
        <f>'IEPS INCREMENTO'!E18+'IEPS ESTIMACIONES'!E18</f>
        <v>167598.850386212</v>
      </c>
      <c r="F15" s="507">
        <f>'IEPS INCREMENTO'!F18+'IEPS ESTIMACIONES'!F18</f>
        <v>160703.02762339017</v>
      </c>
      <c r="G15" s="507">
        <f>'IEPS INCREMENTO'!G18+'IEPS ESTIMACIONES'!G18</f>
        <v>171310.7246861103</v>
      </c>
      <c r="H15" s="507">
        <f>'IEPS INCREMENTO'!H18+'IEPS ESTIMACIONES'!H18</f>
        <v>205255.31724671402</v>
      </c>
      <c r="I15" s="507">
        <f>'IEPS INCREMENTO'!I18+'IEPS ESTIMACIONES'!I18</f>
        <v>191605.16581730006</v>
      </c>
      <c r="J15" s="507">
        <f>'IEPS INCREMENTO'!J18+'IEPS ESTIMACIONES'!J18</f>
        <v>211757.81627818989</v>
      </c>
      <c r="K15" s="507">
        <f>'IEPS INCREMENTO'!K18+'IEPS ESTIMACIONES'!K18</f>
        <v>213657.69726728395</v>
      </c>
      <c r="L15" s="507">
        <f>'IEPS INCREMENTO'!L18+'IEPS ESTIMACIONES'!L18</f>
        <v>258288.0273579456</v>
      </c>
      <c r="M15" s="507">
        <f>'IEPS INCREMENTO'!M18+'IEPS ESTIMACIONES'!M18</f>
        <v>202889.92335606017</v>
      </c>
      <c r="N15" s="507">
        <f>'IEPS INCREMENTO'!N18+'IEPS ESTIMACIONES'!N18</f>
        <v>204536.18807414378</v>
      </c>
      <c r="O15" s="508">
        <f t="shared" si="0"/>
        <v>2519118.9337499999</v>
      </c>
    </row>
    <row r="16" spans="1:15" x14ac:dyDescent="0.2">
      <c r="A16" s="505" t="s">
        <v>152</v>
      </c>
      <c r="B16" s="517"/>
      <c r="C16" s="507">
        <f>'IEPS INCREMENTO'!C19+'IEPS ESTIMACIONES'!C19</f>
        <v>137694.46396403818</v>
      </c>
      <c r="D16" s="507">
        <f>'IEPS INCREMENTO'!D19+'IEPS ESTIMACIONES'!D19</f>
        <v>348177.61869512987</v>
      </c>
      <c r="E16" s="507">
        <f>'IEPS INCREMENTO'!E19+'IEPS ESTIMACIONES'!E19</f>
        <v>148643.82291608508</v>
      </c>
      <c r="F16" s="507">
        <f>'IEPS INCREMENTO'!F19+'IEPS ESTIMACIONES'!F19</f>
        <v>139171.30718333373</v>
      </c>
      <c r="G16" s="507">
        <f>'IEPS INCREMENTO'!G19+'IEPS ESTIMACIONES'!G19</f>
        <v>150796.5232470913</v>
      </c>
      <c r="H16" s="507">
        <f>'IEPS INCREMENTO'!H19+'IEPS ESTIMACIONES'!H19</f>
        <v>183808.62892377391</v>
      </c>
      <c r="I16" s="507">
        <f>'IEPS INCREMENTO'!I19+'IEPS ESTIMACIONES'!I19</f>
        <v>169810.56800626116</v>
      </c>
      <c r="J16" s="507">
        <f>'IEPS INCREMENTO'!J19+'IEPS ESTIMACIONES'!J19</f>
        <v>189147.02141714233</v>
      </c>
      <c r="K16" s="507">
        <f>'IEPS INCREMENTO'!K19+'IEPS ESTIMACIONES'!K19</f>
        <v>191782.91104430539</v>
      </c>
      <c r="L16" s="507">
        <f>'IEPS INCREMENTO'!L19+'IEPS ESTIMACIONES'!L19</f>
        <v>236907.52270252944</v>
      </c>
      <c r="M16" s="507">
        <f>'IEPS INCREMENTO'!M19+'IEPS ESTIMACIONES'!M19</f>
        <v>181995.11741899975</v>
      </c>
      <c r="N16" s="507">
        <f>'IEPS INCREMENTO'!N19+'IEPS ESTIMACIONES'!N19</f>
        <v>183558.42823130975</v>
      </c>
      <c r="O16" s="508">
        <f t="shared" si="0"/>
        <v>2261493.9337499999</v>
      </c>
    </row>
    <row r="17" spans="1:15" x14ac:dyDescent="0.2">
      <c r="A17" s="505" t="s">
        <v>261</v>
      </c>
      <c r="B17" s="517"/>
      <c r="C17" s="507">
        <f>'IEPS INCREMENTO'!C20+'IEPS ESTIMACIONES'!C20</f>
        <v>190609.8400657794</v>
      </c>
      <c r="D17" s="507">
        <f>'IEPS INCREMENTO'!D20+'IEPS ESTIMACIONES'!D20</f>
        <v>428908.20545001596</v>
      </c>
      <c r="E17" s="507">
        <f>'IEPS INCREMENTO'!E20+'IEPS ESTIMACIONES'!E20</f>
        <v>204144.14334861675</v>
      </c>
      <c r="F17" s="507">
        <f>'IEPS INCREMENTO'!F20+'IEPS ESTIMACIONES'!F20</f>
        <v>202216.18463181899</v>
      </c>
      <c r="G17" s="507">
        <f>'IEPS INCREMENTO'!G20+'IEPS ESTIMACIONES'!G20</f>
        <v>210862.10506053892</v>
      </c>
      <c r="H17" s="507">
        <f>'IEPS INCREMENTO'!H20+'IEPS ESTIMACIONES'!H20</f>
        <v>246604.53233334256</v>
      </c>
      <c r="I17" s="507">
        <f>'IEPS INCREMENTO'!I20+'IEPS ESTIMACIONES'!I20</f>
        <v>233625.15039698308</v>
      </c>
      <c r="J17" s="507">
        <f>'IEPS INCREMENTO'!J20+'IEPS ESTIMACIONES'!J20</f>
        <v>255351.42877028958</v>
      </c>
      <c r="K17" s="507">
        <f>'IEPS INCREMENTO'!K20+'IEPS ESTIMACIONES'!K20</f>
        <v>255832.28510518663</v>
      </c>
      <c r="L17" s="507">
        <f>'IEPS INCREMENTO'!L20+'IEPS ESTIMACIONES'!L20</f>
        <v>299509.64033358794</v>
      </c>
      <c r="M17" s="507">
        <f>'IEPS INCREMENTO'!M20+'IEPS ESTIMACIONES'!M20</f>
        <v>243175.1092027126</v>
      </c>
      <c r="N17" s="507">
        <f>'IEPS INCREMENTO'!N20+'IEPS ESTIMACIONES'!N20</f>
        <v>244981.30905112776</v>
      </c>
      <c r="O17" s="508">
        <f t="shared" si="0"/>
        <v>3015819.9337500003</v>
      </c>
    </row>
    <row r="18" spans="1:15" x14ac:dyDescent="0.2">
      <c r="A18" s="505" t="s">
        <v>262</v>
      </c>
      <c r="B18" s="517"/>
      <c r="C18" s="507">
        <f>'IEPS INCREMENTO'!C21+'IEPS ESTIMACIONES'!C21</f>
        <v>167188.28015189397</v>
      </c>
      <c r="D18" s="507">
        <f>'IEPS INCREMENTO'!D21+'IEPS ESTIMACIONES'!D21</f>
        <v>393174.99491916475</v>
      </c>
      <c r="E18" s="507">
        <f>'IEPS INCREMENTO'!E21+'IEPS ESTIMACIONES'!E21</f>
        <v>179578.42774733223</v>
      </c>
      <c r="F18" s="507">
        <f>'IEPS INCREMENTO'!F21+'IEPS ESTIMACIONES'!F21</f>
        <v>174311.07494150582</v>
      </c>
      <c r="G18" s="507">
        <f>'IEPS INCREMENTO'!G21+'IEPS ESTIMACIONES'!G21</f>
        <v>184275.69999557029</v>
      </c>
      <c r="H18" s="507">
        <f>'IEPS INCREMENTO'!H21+'IEPS ESTIMACIONES'!H21</f>
        <v>218809.62426681217</v>
      </c>
      <c r="I18" s="507">
        <f>'IEPS INCREMENTO'!I21+'IEPS ESTIMACIONES'!I21</f>
        <v>205379.35163387665</v>
      </c>
      <c r="J18" s="507">
        <f>'IEPS INCREMENTO'!J21+'IEPS ESTIMACIONES'!J21</f>
        <v>226047.83863037193</v>
      </c>
      <c r="K18" s="507">
        <f>'IEPS INCREMENTO'!K21+'IEPS ESTIMACIONES'!K21</f>
        <v>227482.56216020638</v>
      </c>
      <c r="L18" s="507">
        <f>'IEPS INCREMENTO'!L21+'IEPS ESTIMACIONES'!L21</f>
        <v>271800.50630016858</v>
      </c>
      <c r="M18" s="507">
        <f>'IEPS INCREMENTO'!M21+'IEPS ESTIMACIONES'!M21</f>
        <v>216095.44070828235</v>
      </c>
      <c r="N18" s="507">
        <f>'IEPS INCREMENTO'!N21+'IEPS ESTIMACIONES'!N21</f>
        <v>217794.13229481486</v>
      </c>
      <c r="O18" s="508">
        <f t="shared" si="0"/>
        <v>2681937.9337499999</v>
      </c>
    </row>
    <row r="19" spans="1:15" x14ac:dyDescent="0.2">
      <c r="A19" s="505" t="s">
        <v>263</v>
      </c>
      <c r="B19" s="517"/>
      <c r="C19" s="507">
        <f>'IEPS INCREMENTO'!C22+'IEPS ESTIMACIONES'!C22</f>
        <v>118321.07489946627</v>
      </c>
      <c r="D19" s="507">
        <f>'IEPS INCREMENTO'!D22+'IEPS ESTIMACIONES'!D22</f>
        <v>318620.51862640108</v>
      </c>
      <c r="E19" s="507">
        <f>'IEPS INCREMENTO'!E22+'IEPS ESTIMACIONES'!E22</f>
        <v>128324.033468109</v>
      </c>
      <c r="F19" s="507">
        <f>'IEPS INCREMENTO'!F22+'IEPS ESTIMACIONES'!F22</f>
        <v>116089.30287159322</v>
      </c>
      <c r="G19" s="507">
        <f>'IEPS INCREMENTO'!G22+'IEPS ESTIMACIONES'!G22</f>
        <v>128805.29930446294</v>
      </c>
      <c r="H19" s="507">
        <f>'IEPS INCREMENTO'!H22+'IEPS ESTIMACIONES'!H22</f>
        <v>160817.77904158214</v>
      </c>
      <c r="I19" s="507">
        <f>'IEPS INCREMENTO'!I22+'IEPS ESTIMACIONES'!I22</f>
        <v>146446.75915282744</v>
      </c>
      <c r="J19" s="507">
        <f>'IEPS INCREMENTO'!J22+'IEPS ESTIMACIONES'!J22</f>
        <v>164908.24932609935</v>
      </c>
      <c r="K19" s="507">
        <f>'IEPS INCREMENTO'!K22+'IEPS ESTIMACIONES'!K22</f>
        <v>168333.14021327239</v>
      </c>
      <c r="L19" s="507">
        <f>'IEPS INCREMENTO'!L22+'IEPS ESTIMACIONES'!L22</f>
        <v>213987.62171192333</v>
      </c>
      <c r="M19" s="507">
        <f>'IEPS INCREMENTO'!M22+'IEPS ESTIMACIONES'!M22</f>
        <v>159595.88545447102</v>
      </c>
      <c r="N19" s="507">
        <f>'IEPS INCREMENTO'!N22+'IEPS ESTIMACIONES'!N22</f>
        <v>161070.26967979167</v>
      </c>
      <c r="O19" s="508">
        <f t="shared" si="0"/>
        <v>1985319.9337499999</v>
      </c>
    </row>
    <row r="20" spans="1:15" x14ac:dyDescent="0.2">
      <c r="A20" s="505" t="s">
        <v>156</v>
      </c>
      <c r="B20" s="517"/>
      <c r="C20" s="507">
        <f>'IEPS INCREMENTO'!C23+'IEPS ESTIMACIONES'!C23</f>
        <v>152730.52711863135</v>
      </c>
      <c r="D20" s="507">
        <f>'IEPS INCREMENTO'!D23+'IEPS ESTIMACIONES'!D23</f>
        <v>371117.45755444176</v>
      </c>
      <c r="E20" s="507">
        <f>'IEPS INCREMENTO'!E23+'IEPS ESTIMACIONES'!E23</f>
        <v>164414.4057712307</v>
      </c>
      <c r="F20" s="507">
        <f>'IEPS INCREMENTO'!F23+'IEPS ESTIMACIONES'!F23</f>
        <v>157085.69858946069</v>
      </c>
      <c r="G20" s="507">
        <f>'IEPS INCREMENTO'!G23+'IEPS ESTIMACIONES'!G23</f>
        <v>167864.33884435511</v>
      </c>
      <c r="H20" s="507">
        <f>'IEPS INCREMENTO'!H23+'IEPS ESTIMACIONES'!H23</f>
        <v>201652.27360846009</v>
      </c>
      <c r="I20" s="507">
        <f>'IEPS INCREMENTO'!I23+'IEPS ESTIMACIONES'!I23</f>
        <v>187943.67338504555</v>
      </c>
      <c r="J20" s="507">
        <f>'IEPS INCREMENTO'!J23+'IEPS ESTIMACIONES'!J23</f>
        <v>207959.2027415339</v>
      </c>
      <c r="K20" s="507">
        <f>'IEPS INCREMENTO'!K23+'IEPS ESTIMACIONES'!K23</f>
        <v>209982.73318182357</v>
      </c>
      <c r="L20" s="507">
        <f>'IEPS INCREMENTO'!L23+'IEPS ESTIMACIONES'!L23</f>
        <v>254696.10257583568</v>
      </c>
      <c r="M20" s="507">
        <f>'IEPS INCREMENTO'!M23+'IEPS ESTIMACIONES'!M23</f>
        <v>199379.59595863402</v>
      </c>
      <c r="N20" s="507">
        <f>'IEPS INCREMENTO'!N23+'IEPS ESTIMACIONES'!N23</f>
        <v>201011.92442054767</v>
      </c>
      <c r="O20" s="508">
        <f t="shared" si="0"/>
        <v>2475837.9337499999</v>
      </c>
    </row>
    <row r="21" spans="1:15" x14ac:dyDescent="0.2">
      <c r="A21" s="505" t="s">
        <v>157</v>
      </c>
      <c r="B21" s="517"/>
      <c r="C21" s="507">
        <f>'IEPS INCREMENTO'!C24+'IEPS ESTIMACIONES'!C24</f>
        <v>99092.263365226972</v>
      </c>
      <c r="D21" s="507">
        <f>'IEPS INCREMENTO'!D24+'IEPS ESTIMACIONES'!D24</f>
        <v>289283.99393131951</v>
      </c>
      <c r="E21" s="507">
        <f>'IEPS INCREMENTO'!E24+'IEPS ESTIMACIONES'!E24</f>
        <v>108155.88423989393</v>
      </c>
      <c r="F21" s="507">
        <f>'IEPS INCREMENTO'!F24+'IEPS ESTIMACIONES'!F24</f>
        <v>93179.552323373166</v>
      </c>
      <c r="G21" s="507">
        <f>'IEPS INCREMENTO'!G24+'IEPS ESTIMACIONES'!G24</f>
        <v>106978.18897334674</v>
      </c>
      <c r="H21" s="507">
        <f>'IEPS INCREMENTO'!H24+'IEPS ESTIMACIONES'!H24</f>
        <v>137998.50266597385</v>
      </c>
      <c r="I21" s="507">
        <f>'IEPS INCREMENTO'!I24+'IEPS ESTIMACIONES'!I24</f>
        <v>123257.30708188206</v>
      </c>
      <c r="J21" s="507">
        <f>'IEPS INCREMENTO'!J24+'IEPS ESTIMACIONES'!J24</f>
        <v>140850.36359394476</v>
      </c>
      <c r="K21" s="507">
        <f>'IEPS INCREMENTO'!K24+'IEPS ESTIMACIONES'!K24</f>
        <v>145058.36767202319</v>
      </c>
      <c r="L21" s="507">
        <f>'IEPS INCREMENTO'!L24+'IEPS ESTIMACIONES'!L24</f>
        <v>191238.76475856057</v>
      </c>
      <c r="M21" s="507">
        <f>'IEPS INCREMENTO'!M24+'IEPS ESTIMACIONES'!M24</f>
        <v>137363.81193743873</v>
      </c>
      <c r="N21" s="507">
        <f>'IEPS INCREMENTO'!N24+'IEPS ESTIMACIONES'!N24</f>
        <v>138749.93320701626</v>
      </c>
      <c r="O21" s="508">
        <f t="shared" si="0"/>
        <v>1711206.9337499996</v>
      </c>
    </row>
    <row r="22" spans="1:15" x14ac:dyDescent="0.2">
      <c r="A22" s="505" t="s">
        <v>158</v>
      </c>
      <c r="B22" s="517"/>
      <c r="C22" s="507">
        <f>'IEPS INCREMENTO'!C25+'IEPS ESTIMACIONES'!C25</f>
        <v>148248.62367831991</v>
      </c>
      <c r="D22" s="507">
        <f>'IEPS INCREMENTO'!D25+'IEPS ESTIMACIONES'!D25</f>
        <v>364279.62097137765</v>
      </c>
      <c r="E22" s="507">
        <f>'IEPS INCREMENTO'!E25+'IEPS ESTIMACIONES'!E25</f>
        <v>159713.55895863922</v>
      </c>
      <c r="F22" s="507">
        <f>'IEPS INCREMENTO'!F25+'IEPS ESTIMACIONES'!F25</f>
        <v>151745.83192032669</v>
      </c>
      <c r="G22" s="507">
        <f>'IEPS INCREMENTO'!G25+'IEPS ESTIMACIONES'!G25</f>
        <v>162776.8168874784</v>
      </c>
      <c r="H22" s="507">
        <f>'IEPS INCREMENTO'!H25+'IEPS ESTIMACIONES'!H25</f>
        <v>196333.49490437092</v>
      </c>
      <c r="I22" s="507">
        <f>'IEPS INCREMENTO'!I25+'IEPS ESTIMACIONES'!I25</f>
        <v>182538.61312790785</v>
      </c>
      <c r="J22" s="507">
        <f>'IEPS INCREMENTO'!J25+'IEPS ESTIMACIONES'!J25</f>
        <v>202351.72561599407</v>
      </c>
      <c r="K22" s="507">
        <f>'IEPS INCREMENTO'!K25+'IEPS ESTIMACIONES'!K25</f>
        <v>204557.78619852487</v>
      </c>
      <c r="L22" s="507">
        <f>'IEPS INCREMENTO'!L25+'IEPS ESTIMACIONES'!L25</f>
        <v>249393.73742129246</v>
      </c>
      <c r="M22" s="507">
        <f>'IEPS INCREMENTO'!M25+'IEPS ESTIMACIONES'!M25</f>
        <v>194197.68408624304</v>
      </c>
      <c r="N22" s="507">
        <f>'IEPS INCREMENTO'!N25+'IEPS ESTIMACIONES'!N25</f>
        <v>195809.43997952482</v>
      </c>
      <c r="O22" s="508">
        <f t="shared" si="0"/>
        <v>2411946.9337499999</v>
      </c>
    </row>
    <row r="23" spans="1:15" ht="13.5" thickBot="1" x14ac:dyDescent="0.25">
      <c r="A23" s="505" t="s">
        <v>159</v>
      </c>
      <c r="B23" s="518"/>
      <c r="C23" s="507">
        <f>'IEPS INCREMENTO'!C26+'IEPS ESTIMACIONES'!C26</f>
        <v>160248.5586959279</v>
      </c>
      <c r="D23" s="507">
        <f>'IEPS INCREMENTO'!D26+'IEPS ESTIMACIONES'!D26</f>
        <v>382587.3769840977</v>
      </c>
      <c r="E23" s="507">
        <f>'IEPS INCREMENTO'!E26+'IEPS ESTIMACIONES'!E26</f>
        <v>172299.69719880348</v>
      </c>
      <c r="F23" s="507">
        <f>'IEPS INCREMENTO'!F26+'IEPS ESTIMACIONES'!F26</f>
        <v>166042.89429252414</v>
      </c>
      <c r="G23" s="507">
        <f>'IEPS INCREMENTO'!G26+'IEPS ESTIMACIONES'!G26</f>
        <v>176398.24664298701</v>
      </c>
      <c r="H23" s="507">
        <f>'IEPS INCREMENTO'!H26+'IEPS ESTIMACIONES'!H26</f>
        <v>210574.09595080317</v>
      </c>
      <c r="I23" s="507">
        <f>'IEPS INCREMENTO'!I26+'IEPS ESTIMACIONES'!I26</f>
        <v>197010.22607443773</v>
      </c>
      <c r="J23" s="507">
        <f>'IEPS INCREMENTO'!J26+'IEPS ESTIMACIONES'!J26</f>
        <v>217365.29340372968</v>
      </c>
      <c r="K23" s="507">
        <f>'IEPS INCREMENTO'!K26+'IEPS ESTIMACIONES'!K26</f>
        <v>219082.64425058261</v>
      </c>
      <c r="L23" s="507">
        <f>'IEPS INCREMENTO'!L26+'IEPS ESTIMACIONES'!L26</f>
        <v>263590.39251248882</v>
      </c>
      <c r="M23" s="507">
        <f>'IEPS INCREMENTO'!M26+'IEPS ESTIMACIONES'!M26</f>
        <v>208071.83522845112</v>
      </c>
      <c r="N23" s="507">
        <f>'IEPS INCREMENTO'!N26+'IEPS ESTIMACIONES'!N26</f>
        <v>209738.6725151666</v>
      </c>
      <c r="O23" s="508">
        <f t="shared" si="0"/>
        <v>2583009.9337499999</v>
      </c>
    </row>
    <row r="24" spans="1:15" ht="13.5" thickBot="1" x14ac:dyDescent="0.25">
      <c r="A24" s="510" t="s">
        <v>264</v>
      </c>
      <c r="B24" s="511">
        <f>SUM(B4:B23)</f>
        <v>0</v>
      </c>
      <c r="C24" s="512">
        <f>SUM(C4:C23)</f>
        <v>3320633.1981846578</v>
      </c>
      <c r="D24" s="512">
        <f t="shared" ref="D24:O24" si="1">SUM(D4:D23)</f>
        <v>7828207.8385997387</v>
      </c>
      <c r="E24" s="512">
        <f t="shared" si="1"/>
        <v>3567306.1197848823</v>
      </c>
      <c r="F24" s="512">
        <f t="shared" si="1"/>
        <v>3458660.8966668444</v>
      </c>
      <c r="G24" s="512">
        <f t="shared" si="1"/>
        <v>3659255.8220694615</v>
      </c>
      <c r="H24" s="512">
        <f t="shared" si="1"/>
        <v>4348740.7242828794</v>
      </c>
      <c r="I24" s="512">
        <f t="shared" si="1"/>
        <v>4079689.9474794026</v>
      </c>
      <c r="J24" s="512">
        <f t="shared" si="1"/>
        <v>4492014.9551852979</v>
      </c>
      <c r="K24" s="512">
        <f t="shared" si="1"/>
        <v>4521651.5168387154</v>
      </c>
      <c r="L24" s="512">
        <f t="shared" si="1"/>
        <v>5408643.0800444409</v>
      </c>
      <c r="M24" s="512">
        <f t="shared" si="1"/>
        <v>4295163.462566209</v>
      </c>
      <c r="N24" s="512">
        <f t="shared" si="1"/>
        <v>4329031.1132974699</v>
      </c>
      <c r="O24" s="512">
        <f t="shared" si="1"/>
        <v>53308998.675000012</v>
      </c>
    </row>
    <row r="25" spans="1:15" hidden="1" x14ac:dyDescent="0.2">
      <c r="A25" s="521" t="s">
        <v>289</v>
      </c>
      <c r="B25" s="521"/>
      <c r="C25" s="522">
        <f>'[3]PRESUPUSTO ESTATAL 2017'!B52</f>
        <v>1521250.4468291907</v>
      </c>
      <c r="D25" s="522">
        <f>'[3]PRESUPUSTO ESTATAL 2017'!C52</f>
        <v>1992155.4322061262</v>
      </c>
      <c r="E25" s="522">
        <f>'[3]PRESUPUSTO ESTATAL 2017'!D52</f>
        <v>1561223.5204092669</v>
      </c>
      <c r="F25" s="522">
        <f>'[3]PRESUPUSTO ESTATAL 2017'!E52</f>
        <v>1709133.4840227321</v>
      </c>
      <c r="G25" s="522">
        <f>'[3]PRESUPUSTO ESTATAL 2017'!F52</f>
        <v>1794276.5472658337</v>
      </c>
      <c r="H25" s="522">
        <f>'[3]PRESUPUSTO ESTATAL 2017'!G52</f>
        <v>1664193.9164477964</v>
      </c>
      <c r="I25" s="522">
        <f>'[3]PRESUPUSTO ESTATAL 2017'!H52</f>
        <v>1722567.8942233375</v>
      </c>
      <c r="J25" s="522">
        <f>'[3]PRESUPUSTO ESTATAL 2017'!I52</f>
        <v>1774773.0179705636</v>
      </c>
      <c r="K25" s="522">
        <f>'[3]PRESUPUSTO ESTATAL 2017'!J52</f>
        <v>1814273.0193366187</v>
      </c>
      <c r="L25" s="522">
        <f>'[3]PRESUPUSTO ESTATAL 2017'!K52</f>
        <v>1772942.0603667807</v>
      </c>
      <c r="M25" s="522">
        <f>'[3]PRESUPUSTO ESTATAL 2017'!L52</f>
        <v>1696337.0334839264</v>
      </c>
      <c r="N25" s="522">
        <f>'[3]PRESUPUSTO ESTATAL 2017'!M52</f>
        <v>1676873.6274378267</v>
      </c>
      <c r="O25" s="522">
        <f>SUM(C25:N25)</f>
        <v>20700000</v>
      </c>
    </row>
    <row r="26" spans="1:15" hidden="1" x14ac:dyDescent="0.2">
      <c r="A26" s="523" t="s">
        <v>290</v>
      </c>
      <c r="B26" s="523"/>
      <c r="C26" s="524">
        <f>C25-C24</f>
        <v>-1799382.7513554671</v>
      </c>
      <c r="D26" s="524">
        <f t="shared" ref="D26:O26" si="2">D25-D24</f>
        <v>-5836052.4063936127</v>
      </c>
      <c r="E26" s="524">
        <f t="shared" si="2"/>
        <v>-2006082.5993756154</v>
      </c>
      <c r="F26" s="524">
        <f t="shared" si="2"/>
        <v>-1749527.4126441122</v>
      </c>
      <c r="G26" s="524">
        <f t="shared" si="2"/>
        <v>-1864979.2748036277</v>
      </c>
      <c r="H26" s="524">
        <f t="shared" si="2"/>
        <v>-2684546.807835083</v>
      </c>
      <c r="I26" s="524">
        <f t="shared" si="2"/>
        <v>-2357122.0532560651</v>
      </c>
      <c r="J26" s="524">
        <f t="shared" si="2"/>
        <v>-2717241.937214734</v>
      </c>
      <c r="K26" s="524">
        <f t="shared" si="2"/>
        <v>-2707378.4975020969</v>
      </c>
      <c r="L26" s="524">
        <f t="shared" si="2"/>
        <v>-3635701.0196776604</v>
      </c>
      <c r="M26" s="524">
        <f t="shared" si="2"/>
        <v>-2598826.4290822828</v>
      </c>
      <c r="N26" s="524">
        <f t="shared" si="2"/>
        <v>-2652157.4858596432</v>
      </c>
      <c r="O26" s="524">
        <f t="shared" si="2"/>
        <v>-32608998.675000012</v>
      </c>
    </row>
    <row r="27" spans="1:15" x14ac:dyDescent="0.2">
      <c r="A27" s="514" t="s">
        <v>265</v>
      </c>
    </row>
    <row r="28" spans="1:15" x14ac:dyDescent="0.2">
      <c r="D28" s="509"/>
    </row>
    <row r="31" spans="1:15" x14ac:dyDescent="0.2">
      <c r="C31" s="509"/>
      <c r="D31" s="509"/>
      <c r="E31" s="509"/>
      <c r="F31" s="509"/>
      <c r="G31" s="509"/>
      <c r="H31" s="509"/>
      <c r="I31" s="509"/>
      <c r="J31" s="509"/>
      <c r="K31" s="509"/>
      <c r="L31" s="509"/>
      <c r="M31" s="509"/>
      <c r="N31" s="509"/>
      <c r="O31" s="509"/>
    </row>
    <row r="35" spans="11:11" x14ac:dyDescent="0.2">
      <c r="K35" s="509"/>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Q25"/>
  <sheetViews>
    <sheetView workbookViewId="0">
      <selection sqref="A1:O1"/>
    </sheetView>
  </sheetViews>
  <sheetFormatPr baseColWidth="10" defaultRowHeight="12.75" x14ac:dyDescent="0.2"/>
  <cols>
    <col min="1" max="1" width="16.85546875" style="500" customWidth="1"/>
    <col min="2" max="2" width="9.28515625" style="500" hidden="1" customWidth="1"/>
    <col min="3" max="10" width="9.7109375" style="500" customWidth="1"/>
    <col min="11" max="11" width="10.140625" style="500" customWidth="1"/>
    <col min="12" max="14" width="9.7109375" style="500" customWidth="1"/>
    <col min="15" max="15" width="11.42578125" style="500" bestFit="1" customWidth="1"/>
    <col min="16" max="16" width="11.7109375" style="500" bestFit="1" customWidth="1"/>
    <col min="17" max="16384" width="11.42578125" style="500"/>
  </cols>
  <sheetData>
    <row r="1" spans="1:16" x14ac:dyDescent="0.2">
      <c r="A1" s="1193" t="s">
        <v>435</v>
      </c>
      <c r="B1" s="1193"/>
      <c r="C1" s="1193"/>
      <c r="D1" s="1193"/>
      <c r="E1" s="1193"/>
      <c r="F1" s="1193"/>
      <c r="G1" s="1193"/>
      <c r="H1" s="1193"/>
      <c r="I1" s="1193"/>
      <c r="J1" s="1193"/>
      <c r="K1" s="1193"/>
      <c r="L1" s="1193"/>
      <c r="M1" s="1193"/>
      <c r="N1" s="1193"/>
      <c r="O1" s="1193"/>
    </row>
    <row r="2" spans="1:16" ht="13.5" thickBot="1" x14ac:dyDescent="0.25">
      <c r="O2" s="965" t="s">
        <v>554</v>
      </c>
    </row>
    <row r="3" spans="1:16" ht="34.5" thickBot="1" x14ac:dyDescent="0.25">
      <c r="A3" s="777" t="s">
        <v>13</v>
      </c>
      <c r="B3" s="781"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6" x14ac:dyDescent="0.2">
      <c r="A4" s="505" t="s">
        <v>258</v>
      </c>
      <c r="B4" s="516"/>
      <c r="C4" s="507">
        <f>IEPSGASINCREMENTO!C7</f>
        <v>190838.76767551171</v>
      </c>
      <c r="D4" s="507">
        <f>IEPSGASINCREMENTO!D7</f>
        <v>195162.79089015294</v>
      </c>
      <c r="E4" s="507">
        <f>IEPSGASINCREMENTO!E7</f>
        <v>192110.51328319879</v>
      </c>
      <c r="F4" s="507">
        <f>IEPSGASINCREMENTO!F7</f>
        <v>176704.31759628464</v>
      </c>
      <c r="G4" s="507">
        <f>IEPSGASINCREMENTO!G7</f>
        <v>198133.98543359654</v>
      </c>
      <c r="H4" s="507">
        <f>IEPSGASINCREMENTO!H7</f>
        <v>194328.77041751548</v>
      </c>
      <c r="I4" s="507">
        <f>IEPSGASINCREMENTO!I7</f>
        <v>204562.88646285541</v>
      </c>
      <c r="J4" s="507">
        <f>IEPSGASINCREMENTO!J7</f>
        <v>198834.79317285636</v>
      </c>
      <c r="K4" s="507">
        <f>IEPSGASINCREMENTO!K7</f>
        <v>205078.35857952505</v>
      </c>
      <c r="L4" s="507">
        <f>IEPSGASINCREMENTO!L7</f>
        <v>205947.12990518904</v>
      </c>
      <c r="M4" s="507">
        <f>IEPSGASINCREMENTO!M7</f>
        <v>196251.64869143363</v>
      </c>
      <c r="N4" s="507">
        <f>IEPSGASINCREMENTO!N7</f>
        <v>204591.8466371533</v>
      </c>
      <c r="O4" s="508">
        <f>SUM(C4:N4)</f>
        <v>2362545.8087452725</v>
      </c>
      <c r="P4" s="509"/>
    </row>
    <row r="5" spans="1:16" x14ac:dyDescent="0.2">
      <c r="A5" s="505" t="s">
        <v>141</v>
      </c>
      <c r="B5" s="517"/>
      <c r="C5" s="507">
        <f>IEPSGASINCREMENTO!C8</f>
        <v>78899.364815995708</v>
      </c>
      <c r="D5" s="507">
        <f>IEPSGASINCREMENTO!D8</f>
        <v>80687.065969384523</v>
      </c>
      <c r="E5" s="507">
        <f>IEPSGASINCREMENTO!E8</f>
        <v>79425.148554154483</v>
      </c>
      <c r="F5" s="507">
        <f>IEPSGASINCREMENTO!F8</f>
        <v>73055.692972701174</v>
      </c>
      <c r="G5" s="507">
        <f>IEPSGASINCREMENTO!G8</f>
        <v>81915.460834211204</v>
      </c>
      <c r="H5" s="507">
        <f>IEPSGASINCREMENTO!H8</f>
        <v>80342.252982295249</v>
      </c>
      <c r="I5" s="507">
        <f>IEPSGASINCREMENTO!I8</f>
        <v>84573.391472999952</v>
      </c>
      <c r="J5" s="507">
        <f>IEPSGASINCREMENTO!J8</f>
        <v>82205.199057525198</v>
      </c>
      <c r="K5" s="507">
        <f>IEPSGASINCREMENTO!K8</f>
        <v>84786.505522524429</v>
      </c>
      <c r="L5" s="507">
        <f>IEPSGASINCREMENTO!L8</f>
        <v>85145.685717409098</v>
      </c>
      <c r="M5" s="507">
        <f>IEPSGASINCREMENTO!M8</f>
        <v>81137.237545854063</v>
      </c>
      <c r="N5" s="507">
        <f>IEPSGASINCREMENTO!N8</f>
        <v>84585.364613389058</v>
      </c>
      <c r="O5" s="508">
        <f t="shared" ref="O5:O23" si="0">SUM(C5:N5)</f>
        <v>976758.37005844421</v>
      </c>
      <c r="P5" s="509"/>
    </row>
    <row r="6" spans="1:16" x14ac:dyDescent="0.2">
      <c r="A6" s="505" t="s">
        <v>142</v>
      </c>
      <c r="B6" s="517"/>
      <c r="C6" s="507">
        <f>IEPSGASINCREMENTO!C9</f>
        <v>59129.674041273713</v>
      </c>
      <c r="D6" s="507">
        <f>IEPSGASINCREMENTO!D9</f>
        <v>60469.433705113988</v>
      </c>
      <c r="E6" s="507">
        <f>IEPSGASINCREMENTO!E9</f>
        <v>59523.712968279462</v>
      </c>
      <c r="F6" s="507">
        <f>IEPSGASINCREMENTO!F9</f>
        <v>54750.241936794679</v>
      </c>
      <c r="G6" s="507">
        <f>IEPSGASINCREMENTO!G9</f>
        <v>61390.031584711243</v>
      </c>
      <c r="H6" s="507">
        <f>IEPSGASINCREMENTO!H9</f>
        <v>60211.019970360408</v>
      </c>
      <c r="I6" s="507">
        <f>IEPSGASINCREMENTO!I9</f>
        <v>63381.96868917867</v>
      </c>
      <c r="J6" s="507">
        <f>IEPSGASINCREMENTO!J9</f>
        <v>61607.170553343101</v>
      </c>
      <c r="K6" s="507">
        <f>IEPSGASINCREMENTO!K9</f>
        <v>63541.683083729076</v>
      </c>
      <c r="L6" s="507">
        <f>IEPSGASINCREMENTO!L9</f>
        <v>63810.864057430728</v>
      </c>
      <c r="M6" s="507">
        <f>IEPSGASINCREMENTO!M9</f>
        <v>60806.806491845142</v>
      </c>
      <c r="N6" s="507">
        <f>IEPSGASINCREMENTO!N9</f>
        <v>63390.941738456168</v>
      </c>
      <c r="O6" s="508">
        <f t="shared" si="0"/>
        <v>732013.54882051633</v>
      </c>
      <c r="P6" s="509"/>
    </row>
    <row r="7" spans="1:16" x14ac:dyDescent="0.2">
      <c r="A7" s="312" t="s">
        <v>349</v>
      </c>
      <c r="B7" s="517"/>
      <c r="C7" s="507">
        <f>IEPSGASINCREMENTO!C10</f>
        <v>961738.81758948253</v>
      </c>
      <c r="D7" s="507">
        <f>IEPSGASINCREMENTO!D10</f>
        <v>983529.88773907314</v>
      </c>
      <c r="E7" s="507">
        <f>IEPSGASINCREMENTO!E10</f>
        <v>968147.82521361066</v>
      </c>
      <c r="F7" s="507">
        <f>IEPSGASINCREMENTO!F10</f>
        <v>890507.74922717223</v>
      </c>
      <c r="G7" s="507">
        <f>IEPSGASINCREMENTO!G10</f>
        <v>998503.32925646158</v>
      </c>
      <c r="H7" s="507">
        <f>IEPSGASINCREMENTO!H10</f>
        <v>979326.81163996737</v>
      </c>
      <c r="I7" s="507">
        <f>IEPSGASINCREMENTO!I10</f>
        <v>1030902.0066823831</v>
      </c>
      <c r="J7" s="507">
        <f>IEPSGASINCREMENTO!J10</f>
        <v>1002035.0750056235</v>
      </c>
      <c r="K7" s="507">
        <f>IEPSGASINCREMENTO!K10</f>
        <v>1033499.746911083</v>
      </c>
      <c r="L7" s="507">
        <f>IEPSGASINCREMENTO!L10</f>
        <v>1037877.951180985</v>
      </c>
      <c r="M7" s="507">
        <f>IEPSGASINCREMENTO!M10</f>
        <v>989017.22570023302</v>
      </c>
      <c r="N7" s="507">
        <f>IEPSGASINCREMENTO!N10</f>
        <v>1031047.9525199383</v>
      </c>
      <c r="O7" s="508">
        <f t="shared" si="0"/>
        <v>11906134.378666013</v>
      </c>
      <c r="P7" s="509"/>
    </row>
    <row r="8" spans="1:16" x14ac:dyDescent="0.2">
      <c r="A8" s="505" t="s">
        <v>144</v>
      </c>
      <c r="B8" s="517"/>
      <c r="C8" s="507">
        <f>IEPSGASINCREMENTO!C11</f>
        <v>396911.01240118511</v>
      </c>
      <c r="D8" s="507">
        <f>IEPSGASINCREMENTO!D11</f>
        <v>405904.21882708103</v>
      </c>
      <c r="E8" s="507">
        <f>IEPSGASINCREMENTO!E11</f>
        <v>399556.01919310755</v>
      </c>
      <c r="F8" s="507">
        <f>IEPSGASINCREMENTO!F11</f>
        <v>367513.84662080725</v>
      </c>
      <c r="G8" s="507">
        <f>IEPSGASINCREMENTO!G11</f>
        <v>412083.77997518203</v>
      </c>
      <c r="H8" s="507">
        <f>IEPSGASINCREMENTO!H11</f>
        <v>404169.60319216608</v>
      </c>
      <c r="I8" s="507">
        <f>IEPSGASINCREMENTO!I11</f>
        <v>425454.76139175094</v>
      </c>
      <c r="J8" s="507">
        <f>IEPSGASINCREMENTO!J11</f>
        <v>413541.33659575909</v>
      </c>
      <c r="K8" s="507">
        <f>IEPSGASINCREMENTO!K11</f>
        <v>426526.85257209121</v>
      </c>
      <c r="L8" s="507">
        <f>IEPSGASINCREMENTO!L11</f>
        <v>428333.74385846104</v>
      </c>
      <c r="M8" s="507">
        <f>IEPSGASINCREMENTO!M11</f>
        <v>408168.85120514221</v>
      </c>
      <c r="N8" s="507">
        <f>IEPSGASINCREMENTO!N11</f>
        <v>425514.99345172435</v>
      </c>
      <c r="O8" s="508">
        <f t="shared" si="0"/>
        <v>4913679.0192844588</v>
      </c>
      <c r="P8" s="509"/>
    </row>
    <row r="9" spans="1:16" x14ac:dyDescent="0.2">
      <c r="A9" s="505" t="s">
        <v>260</v>
      </c>
      <c r="B9" s="517"/>
      <c r="C9" s="507">
        <f>IEPSGASINCREMENTO!C12</f>
        <v>243725.38147213642</v>
      </c>
      <c r="D9" s="507">
        <f>IEPSGASINCREMENTO!D12</f>
        <v>249247.70914339204</v>
      </c>
      <c r="E9" s="507">
        <f>IEPSGASINCREMENTO!E12</f>
        <v>245349.5623822546</v>
      </c>
      <c r="F9" s="507">
        <f>IEPSGASINCREMENTO!F12</f>
        <v>225673.89078489837</v>
      </c>
      <c r="G9" s="507">
        <f>IEPSGASINCREMENTO!G12</f>
        <v>253042.3025184657</v>
      </c>
      <c r="H9" s="507">
        <f>IEPSGASINCREMENTO!H12</f>
        <v>248182.55891042284</v>
      </c>
      <c r="I9" s="507">
        <f>IEPSGASINCREMENTO!I12</f>
        <v>261252.8269045116</v>
      </c>
      <c r="J9" s="507">
        <f>IEPSGASINCREMENTO!J12</f>
        <v>253937.32314593144</v>
      </c>
      <c r="K9" s="507">
        <f>IEPSGASINCREMENTO!K12</f>
        <v>261911.15036679248</v>
      </c>
      <c r="L9" s="507">
        <f>IEPSGASINCREMENTO!L12</f>
        <v>263020.68185946875</v>
      </c>
      <c r="M9" s="507">
        <f>IEPSGASINCREMENTO!M12</f>
        <v>250638.31906096023</v>
      </c>
      <c r="N9" s="507">
        <f>IEPSGASINCREMENTO!N12</f>
        <v>261289.81273089387</v>
      </c>
      <c r="O9" s="508">
        <f t="shared" si="0"/>
        <v>3017271.5192801286</v>
      </c>
      <c r="P9" s="509"/>
    </row>
    <row r="10" spans="1:16" x14ac:dyDescent="0.2">
      <c r="A10" s="505" t="s">
        <v>146</v>
      </c>
      <c r="B10" s="517"/>
      <c r="C10" s="507">
        <f>IEPSGASINCREMENTO!C13</f>
        <v>62686.885707765046</v>
      </c>
      <c r="D10" s="507">
        <f>IEPSGASINCREMENTO!D13</f>
        <v>64107.24464403122</v>
      </c>
      <c r="E10" s="507">
        <f>IEPSGASINCREMENTO!E13</f>
        <v>63104.629819873255</v>
      </c>
      <c r="F10" s="507">
        <f>IEPSGASINCREMENTO!F13</f>
        <v>58043.989154559553</v>
      </c>
      <c r="G10" s="507">
        <f>IEPSGASINCREMENTO!G13</f>
        <v>65083.225232404518</v>
      </c>
      <c r="H10" s="507">
        <f>IEPSGASINCREMENTO!H13</f>
        <v>63833.284868022522</v>
      </c>
      <c r="I10" s="507">
        <f>IEPSGASINCREMENTO!I13</f>
        <v>67194.996278489518</v>
      </c>
      <c r="J10" s="507">
        <f>IEPSGASINCREMENTO!J13</f>
        <v>65313.427172970369</v>
      </c>
      <c r="K10" s="507">
        <f>IEPSGASINCREMENTO!K13</f>
        <v>67364.319011269647</v>
      </c>
      <c r="L10" s="507">
        <f>IEPSGASINCREMENTO!L13</f>
        <v>67649.693777945373</v>
      </c>
      <c r="M10" s="507">
        <f>IEPSGASINCREMENTO!M13</f>
        <v>64464.913609159681</v>
      </c>
      <c r="N10" s="507">
        <f>IEPSGASINCREMENTO!N13</f>
        <v>67204.509141931267</v>
      </c>
      <c r="O10" s="508">
        <f t="shared" si="0"/>
        <v>776051.11841842206</v>
      </c>
      <c r="P10" s="509"/>
    </row>
    <row r="11" spans="1:16" x14ac:dyDescent="0.2">
      <c r="A11" s="505" t="s">
        <v>147</v>
      </c>
      <c r="B11" s="517"/>
      <c r="C11" s="507">
        <f>IEPSGASINCREMENTO!C14</f>
        <v>150176.86544168505</v>
      </c>
      <c r="D11" s="507">
        <f>IEPSGASINCREMENTO!D14</f>
        <v>153579.57161287579</v>
      </c>
      <c r="E11" s="507">
        <f>IEPSGASINCREMENTO!E14</f>
        <v>151177.64097240119</v>
      </c>
      <c r="F11" s="507">
        <f>IEPSGASINCREMENTO!F14</f>
        <v>139054.03419782832</v>
      </c>
      <c r="G11" s="507">
        <f>IEPSGASINCREMENTO!G14</f>
        <v>155917.69550974818</v>
      </c>
      <c r="H11" s="507">
        <f>IEPSGASINCREMENTO!H14</f>
        <v>152923.25538415305</v>
      </c>
      <c r="I11" s="507">
        <f>IEPSGASINCREMENTO!I14</f>
        <v>160976.7944369145</v>
      </c>
      <c r="J11" s="507">
        <f>IEPSGASINCREMENTO!J14</f>
        <v>156469.18256262134</v>
      </c>
      <c r="K11" s="507">
        <f>IEPSGASINCREMENTO!K14</f>
        <v>161382.43521759522</v>
      </c>
      <c r="L11" s="507">
        <f>IEPSGASINCREMENTO!L14</f>
        <v>162066.09795584806</v>
      </c>
      <c r="M11" s="507">
        <f>IEPSGASINCREMENTO!M14</f>
        <v>154436.42713285115</v>
      </c>
      <c r="N11" s="507">
        <f>IEPSGASINCREMENTO!N14</f>
        <v>160999.58408417369</v>
      </c>
      <c r="O11" s="508">
        <f t="shared" si="0"/>
        <v>1859159.5845086954</v>
      </c>
      <c r="P11" s="509"/>
    </row>
    <row r="12" spans="1:16" x14ac:dyDescent="0.2">
      <c r="A12" s="505" t="s">
        <v>148</v>
      </c>
      <c r="B12" s="517"/>
      <c r="C12" s="507">
        <f>IEPSGASINCREMENTO!C15</f>
        <v>99032.977821727603</v>
      </c>
      <c r="D12" s="507">
        <f>IEPSGASINCREMENTO!D15</f>
        <v>101276.86621155577</v>
      </c>
      <c r="E12" s="507">
        <f>IEPSGASINCREMENTO!E15</f>
        <v>99692.931541273196</v>
      </c>
      <c r="F12" s="507">
        <f>IEPSGASINCREMENTO!F15</f>
        <v>91698.112383912114</v>
      </c>
      <c r="G12" s="507">
        <f>IEPSGASINCREMENTO!G15</f>
        <v>102818.72401596792</v>
      </c>
      <c r="H12" s="507">
        <f>IEPSGASINCREMENTO!H15</f>
        <v>100844.06352698799</v>
      </c>
      <c r="I12" s="507">
        <f>IEPSGASINCREMENTO!I15</f>
        <v>106154.90785745675</v>
      </c>
      <c r="J12" s="507">
        <f>IEPSGASINCREMENTO!J15</f>
        <v>103182.39790751926</v>
      </c>
      <c r="K12" s="507">
        <f>IEPSGASINCREMENTO!K15</f>
        <v>106422.40454756669</v>
      </c>
      <c r="L12" s="507">
        <f>IEPSGASINCREMENTO!L15</f>
        <v>106873.24067732481</v>
      </c>
      <c r="M12" s="507">
        <f>IEPSGASINCREMENTO!M15</f>
        <v>101841.91298794556</v>
      </c>
      <c r="N12" s="507">
        <f>IEPSGASINCREMENTO!N15</f>
        <v>106169.9363149022</v>
      </c>
      <c r="O12" s="508">
        <f t="shared" si="0"/>
        <v>1226008.4757941398</v>
      </c>
      <c r="P12" s="509"/>
    </row>
    <row r="13" spans="1:16" x14ac:dyDescent="0.2">
      <c r="A13" s="505" t="s">
        <v>149</v>
      </c>
      <c r="B13" s="517"/>
      <c r="C13" s="507">
        <f>IEPSGASINCREMENTO!C16</f>
        <v>70319.001228522393</v>
      </c>
      <c r="D13" s="507">
        <f>IEPSGASINCREMENTO!D16</f>
        <v>71912.288574935752</v>
      </c>
      <c r="E13" s="507">
        <f>IEPSGASINCREMENTO!E16</f>
        <v>70787.605600886454</v>
      </c>
      <c r="F13" s="507">
        <f>IEPSGASINCREMENTO!F16</f>
        <v>65110.832969043542</v>
      </c>
      <c r="G13" s="507">
        <f>IEPSGASINCREMENTO!G16</f>
        <v>73007.094600438082</v>
      </c>
      <c r="H13" s="507">
        <f>IEPSGASINCREMENTO!H16</f>
        <v>71604.974252199594</v>
      </c>
      <c r="I13" s="507">
        <f>IEPSGASINCREMENTO!I16</f>
        <v>75375.973339705466</v>
      </c>
      <c r="J13" s="507">
        <f>IEPSGASINCREMENTO!J16</f>
        <v>73265.323580211014</v>
      </c>
      <c r="K13" s="507">
        <f>IEPSGASINCREMENTO!K16</f>
        <v>75565.911080589402</v>
      </c>
      <c r="L13" s="507">
        <f>IEPSGASINCREMENTO!L16</f>
        <v>75886.030166772907</v>
      </c>
      <c r="M13" s="507">
        <f>IEPSGASINCREMENTO!M16</f>
        <v>72313.503663455587</v>
      </c>
      <c r="N13" s="507">
        <f>IEPSGASINCREMENTO!N16</f>
        <v>75386.644392326663</v>
      </c>
      <c r="O13" s="508">
        <f t="shared" si="0"/>
        <v>870535.18344908685</v>
      </c>
      <c r="P13" s="509"/>
    </row>
    <row r="14" spans="1:16" x14ac:dyDescent="0.2">
      <c r="A14" s="505" t="s">
        <v>150</v>
      </c>
      <c r="B14" s="517"/>
      <c r="C14" s="507">
        <f>IEPSGASINCREMENTO!C17</f>
        <v>172053.2046240842</v>
      </c>
      <c r="D14" s="507">
        <f>IEPSGASINCREMENTO!D17</f>
        <v>175951.58470696612</v>
      </c>
      <c r="E14" s="507">
        <f>IEPSGASINCREMENTO!E17</f>
        <v>173199.76362744774</v>
      </c>
      <c r="F14" s="507">
        <f>IEPSGASINCREMENTO!F17</f>
        <v>159310.10498373676</v>
      </c>
      <c r="G14" s="507">
        <f>IEPSGASINCREMENTO!G17</f>
        <v>178630.30428259383</v>
      </c>
      <c r="H14" s="507">
        <f>IEPSGASINCREMENTO!H17</f>
        <v>175199.66256458807</v>
      </c>
      <c r="I14" s="507">
        <f>IEPSGASINCREMENTO!I17</f>
        <v>184426.36468356976</v>
      </c>
      <c r="J14" s="507">
        <f>IEPSGASINCREMENTO!J17</f>
        <v>179262.12673058844</v>
      </c>
      <c r="K14" s="507">
        <f>IEPSGASINCREMENTO!K17</f>
        <v>184891.0953598764</v>
      </c>
      <c r="L14" s="507">
        <f>IEPSGASINCREMENTO!L17</f>
        <v>185674.34759152026</v>
      </c>
      <c r="M14" s="507">
        <f>IEPSGASINCREMENTO!M17</f>
        <v>176933.25879956366</v>
      </c>
      <c r="N14" s="507">
        <f>IEPSGASINCREMENTO!N17</f>
        <v>184452.47411015592</v>
      </c>
      <c r="O14" s="508">
        <f t="shared" si="0"/>
        <v>2129984.2920646914</v>
      </c>
      <c r="P14" s="509"/>
    </row>
    <row r="15" spans="1:16" x14ac:dyDescent="0.2">
      <c r="A15" s="505" t="s">
        <v>151</v>
      </c>
      <c r="B15" s="517"/>
      <c r="C15" s="507">
        <f>IEPSGASINCREMENTO!C18</f>
        <v>123508.02927345109</v>
      </c>
      <c r="D15" s="507">
        <f>IEPSGASINCREMENTO!D18</f>
        <v>126306.47317600787</v>
      </c>
      <c r="E15" s="507">
        <f>IEPSGASINCREMENTO!E18</f>
        <v>124331.08423055323</v>
      </c>
      <c r="F15" s="507">
        <f>IEPSGASINCREMENTO!F18</f>
        <v>114360.42213150179</v>
      </c>
      <c r="G15" s="507">
        <f>IEPSGASINCREMENTO!G18</f>
        <v>128229.38636140797</v>
      </c>
      <c r="H15" s="507">
        <f>IEPSGASINCREMENTO!H18</f>
        <v>125766.70745542688</v>
      </c>
      <c r="I15" s="507">
        <f>IEPSGASINCREMENTO!I18</f>
        <v>132390.07606921368</v>
      </c>
      <c r="J15" s="507">
        <f>IEPSGASINCREMENTO!J18</f>
        <v>128682.93877022847</v>
      </c>
      <c r="K15" s="507">
        <f>IEPSGASINCREMENTO!K18</f>
        <v>132723.68200290707</v>
      </c>
      <c r="L15" s="507">
        <f>IEPSGASINCREMENTO!L18</f>
        <v>133285.9379618456</v>
      </c>
      <c r="M15" s="507">
        <f>IEPSGASINCREMENTO!M18</f>
        <v>127011.16584843106</v>
      </c>
      <c r="N15" s="507">
        <f>IEPSGASINCREMENTO!N18</f>
        <v>132408.81866590155</v>
      </c>
      <c r="O15" s="508">
        <f t="shared" si="0"/>
        <v>1529004.7219468765</v>
      </c>
      <c r="P15" s="509"/>
    </row>
    <row r="16" spans="1:16" x14ac:dyDescent="0.2">
      <c r="A16" s="505" t="s">
        <v>152</v>
      </c>
      <c r="B16" s="517"/>
      <c r="C16" s="507">
        <f>IEPSGASINCREMENTO!C19</f>
        <v>212807.36883196971</v>
      </c>
      <c r="D16" s="507">
        <f>IEPSGASINCREMENTO!D19</f>
        <v>217629.1564293449</v>
      </c>
      <c r="E16" s="507">
        <f>IEPSGASINCREMENTO!E19</f>
        <v>214225.51274419445</v>
      </c>
      <c r="F16" s="507">
        <f>IEPSGASINCREMENTO!F19</f>
        <v>197045.81698438295</v>
      </c>
      <c r="G16" s="507">
        <f>IEPSGASINCREMENTO!G19</f>
        <v>220942.3830906763</v>
      </c>
      <c r="H16" s="507">
        <f>IEPSGASINCREMENTO!H19</f>
        <v>216699.12683160746</v>
      </c>
      <c r="I16" s="507">
        <f>IEPSGASINCREMENTO!I19</f>
        <v>228111.35367868587</v>
      </c>
      <c r="J16" s="507">
        <f>IEPSGASINCREMENTO!J19</f>
        <v>221723.8650341279</v>
      </c>
      <c r="K16" s="507">
        <f>IEPSGASINCREMENTO!K19</f>
        <v>228686.16489860124</v>
      </c>
      <c r="L16" s="507">
        <f>IEPSGASINCREMENTO!L19</f>
        <v>229654.94572957777</v>
      </c>
      <c r="M16" s="507">
        <f>IEPSGASINCREMENTO!M19</f>
        <v>218843.35921709664</v>
      </c>
      <c r="N16" s="507">
        <f>IEPSGASINCREMENTO!N19</f>
        <v>228143.6476332545</v>
      </c>
      <c r="O16" s="508">
        <f t="shared" si="0"/>
        <v>2634512.7011035196</v>
      </c>
      <c r="P16" s="509"/>
    </row>
    <row r="17" spans="1:17" x14ac:dyDescent="0.2">
      <c r="A17" s="505" t="s">
        <v>261</v>
      </c>
      <c r="B17" s="517"/>
      <c r="C17" s="507">
        <f>IEPSGASINCREMENTO!C20</f>
        <v>39380.485927453716</v>
      </c>
      <c r="D17" s="507">
        <f>IEPSGASINCREMENTO!D20</f>
        <v>40272.768650866063</v>
      </c>
      <c r="E17" s="507">
        <f>IEPSGASINCREMENTO!E20</f>
        <v>39642.9166726154</v>
      </c>
      <c r="F17" s="507">
        <f>IEPSGASINCREMENTO!F20</f>
        <v>36463.775034708182</v>
      </c>
      <c r="G17" s="507">
        <f>IEPSGASINCREMENTO!G20</f>
        <v>40885.888753930012</v>
      </c>
      <c r="H17" s="507">
        <f>IEPSGASINCREMENTO!H20</f>
        <v>40100.66456590491</v>
      </c>
      <c r="I17" s="507">
        <f>IEPSGASINCREMENTO!I20</f>
        <v>42212.52300961857</v>
      </c>
      <c r="J17" s="507">
        <f>IEPSGASINCREMENTO!J20</f>
        <v>41030.50375878426</v>
      </c>
      <c r="K17" s="507">
        <f>IEPSGASINCREMENTO!K20</f>
        <v>42318.893128665964</v>
      </c>
      <c r="L17" s="507">
        <f>IEPSGASINCREMENTO!L20</f>
        <v>42498.168217167164</v>
      </c>
      <c r="M17" s="507">
        <f>IEPSGASINCREMENTO!M20</f>
        <v>40497.459628714139</v>
      </c>
      <c r="N17" s="507">
        <f>IEPSGASINCREMENTO!N20</f>
        <v>42218.499079105313</v>
      </c>
      <c r="O17" s="508">
        <f t="shared" si="0"/>
        <v>487522.54642753373</v>
      </c>
      <c r="P17" s="509"/>
    </row>
    <row r="18" spans="1:17" x14ac:dyDescent="0.2">
      <c r="A18" s="505" t="s">
        <v>262</v>
      </c>
      <c r="B18" s="517"/>
      <c r="C18" s="507">
        <f>IEPSGASINCREMENTO!C21</f>
        <v>127685.44643222693</v>
      </c>
      <c r="D18" s="507">
        <f>IEPSGASINCREMENTO!D21</f>
        <v>130578.54221810806</v>
      </c>
      <c r="E18" s="507">
        <f>IEPSGASINCREMENTO!E21</f>
        <v>128536.3396110272</v>
      </c>
      <c r="F18" s="507">
        <f>IEPSGASINCREMENTO!F21</f>
        <v>118228.43939732079</v>
      </c>
      <c r="G18" s="507">
        <f>IEPSGASINCREMENTO!G21</f>
        <v>132566.49417534174</v>
      </c>
      <c r="H18" s="507">
        <f>IEPSGASINCREMENTO!H21</f>
        <v>130020.51997933844</v>
      </c>
      <c r="I18" s="507">
        <f>IEPSGASINCREMENTO!I21</f>
        <v>136867.91106242457</v>
      </c>
      <c r="J18" s="507">
        <f>IEPSGASINCREMENTO!J21</f>
        <v>133035.3871059579</v>
      </c>
      <c r="K18" s="507">
        <f>IEPSGASINCREMENTO!K21</f>
        <v>137212.80056334735</v>
      </c>
      <c r="L18" s="507">
        <f>IEPSGASINCREMENTO!L21</f>
        <v>137794.07372873242</v>
      </c>
      <c r="M18" s="507">
        <f>IEPSGASINCREMENTO!M21</f>
        <v>131307.0697398019</v>
      </c>
      <c r="N18" s="507">
        <f>IEPSGASINCREMENTO!N21</f>
        <v>136887.28759073178</v>
      </c>
      <c r="O18" s="508">
        <f t="shared" si="0"/>
        <v>1580720.3116043587</v>
      </c>
      <c r="P18" s="509"/>
    </row>
    <row r="19" spans="1:17" x14ac:dyDescent="0.2">
      <c r="A19" s="505" t="s">
        <v>263</v>
      </c>
      <c r="B19" s="517"/>
      <c r="C19" s="507">
        <f>IEPSGASINCREMENTO!C22</f>
        <v>481715.14355694759</v>
      </c>
      <c r="D19" s="507">
        <f>IEPSGASINCREMENTO!D22</f>
        <v>492629.841282968</v>
      </c>
      <c r="E19" s="507">
        <f>IEPSGASINCREMENTO!E22</f>
        <v>484925.28332800569</v>
      </c>
      <c r="F19" s="507">
        <f>IEPSGASINCREMENTO!F22</f>
        <v>446036.97013366001</v>
      </c>
      <c r="G19" s="507">
        <f>IEPSGASINCREMENTO!G22</f>
        <v>500129.72940037696</v>
      </c>
      <c r="H19" s="507">
        <f>IEPSGASINCREMENTO!H22</f>
        <v>490524.60712850577</v>
      </c>
      <c r="I19" s="507">
        <f>IEPSGASINCREMENTO!I22</f>
        <v>516357.55889196438</v>
      </c>
      <c r="J19" s="507">
        <f>IEPSGASINCREMENTO!J22</f>
        <v>501898.70802476944</v>
      </c>
      <c r="K19" s="507">
        <f>IEPSGASINCREMENTO!K22</f>
        <v>517658.71340949577</v>
      </c>
      <c r="L19" s="507">
        <f>IEPSGASINCREMENTO!L22</f>
        <v>519851.66565372737</v>
      </c>
      <c r="M19" s="507">
        <f>IEPSGASINCREMENTO!M22</f>
        <v>495378.33572382969</v>
      </c>
      <c r="N19" s="507">
        <f>IEPSGASINCREMENTO!N22</f>
        <v>516430.66015272634</v>
      </c>
      <c r="O19" s="508">
        <f t="shared" si="0"/>
        <v>5963537.2166869771</v>
      </c>
      <c r="P19" s="509"/>
    </row>
    <row r="20" spans="1:17" x14ac:dyDescent="0.2">
      <c r="A20" s="505" t="s">
        <v>156</v>
      </c>
      <c r="B20" s="517"/>
      <c r="C20" s="507">
        <f>IEPSGASINCREMENTO!C23</f>
        <v>190341.578148639</v>
      </c>
      <c r="D20" s="507">
        <f>IEPSGASINCREMENTO!D23</f>
        <v>194654.3360471054</v>
      </c>
      <c r="E20" s="507">
        <f>IEPSGASINCREMENTO!E23</f>
        <v>191610.01049558408</v>
      </c>
      <c r="F20" s="507">
        <f>IEPSGASINCREMENTO!F23</f>
        <v>176243.95235115036</v>
      </c>
      <c r="G20" s="507">
        <f>IEPSGASINCREMENTO!G23</f>
        <v>197617.78977966818</v>
      </c>
      <c r="H20" s="507">
        <f>IEPSGASINCREMENTO!H23</f>
        <v>193822.48843614195</v>
      </c>
      <c r="I20" s="507">
        <f>IEPSGASINCREMENTO!I23</f>
        <v>204029.94168452232</v>
      </c>
      <c r="J20" s="507">
        <f>IEPSGASINCREMENTO!J23</f>
        <v>198316.77171449346</v>
      </c>
      <c r="K20" s="507">
        <f>IEPSGASINCREMENTO!K23</f>
        <v>204544.07084901867</v>
      </c>
      <c r="L20" s="507">
        <f>IEPSGASINCREMENTO!L23</f>
        <v>205410.57877710558</v>
      </c>
      <c r="M20" s="507">
        <f>IEPSGASINCREMENTO!M23</f>
        <v>195740.3570626447</v>
      </c>
      <c r="N20" s="507">
        <f>IEPSGASINCREMENTO!N23</f>
        <v>204058.82640929005</v>
      </c>
      <c r="O20" s="508">
        <f t="shared" si="0"/>
        <v>2356390.7017553635</v>
      </c>
      <c r="P20" s="509"/>
    </row>
    <row r="21" spans="1:17" x14ac:dyDescent="0.2">
      <c r="A21" s="505" t="s">
        <v>157</v>
      </c>
      <c r="B21" s="519"/>
      <c r="C21" s="507">
        <f>IEPSGASINCREMENTO!C24</f>
        <v>2183143.8355023814</v>
      </c>
      <c r="D21" s="507">
        <f>IEPSGASINCREMENTO!D24</f>
        <v>2232609.4904140928</v>
      </c>
      <c r="E21" s="507">
        <f>IEPSGASINCREMENTO!E24</f>
        <v>2197692.2609484629</v>
      </c>
      <c r="F21" s="507">
        <f>IEPSGASINCREMENTO!F24</f>
        <v>2021449.5532842702</v>
      </c>
      <c r="G21" s="507">
        <f>IEPSGASINCREMENTO!G24</f>
        <v>2266599.1515851729</v>
      </c>
      <c r="H21" s="507">
        <f>IEPSGASINCREMENTO!H24</f>
        <v>2223068.5220055296</v>
      </c>
      <c r="I21" s="507">
        <f>IEPSGASINCREMENTO!I24</f>
        <v>2340144.0388323283</v>
      </c>
      <c r="J21" s="507">
        <f>IEPSGASINCREMENTO!J24</f>
        <v>2274616.2023892263</v>
      </c>
      <c r="K21" s="507">
        <f>IEPSGASINCREMENTO!K24</f>
        <v>2346040.9002907616</v>
      </c>
      <c r="L21" s="507">
        <f>IEPSGASINCREMENTO!L24</f>
        <v>2355979.4090496819</v>
      </c>
      <c r="M21" s="507">
        <f>IEPSGASINCREMENTO!M24</f>
        <v>2245065.7288689888</v>
      </c>
      <c r="N21" s="507">
        <f>IEPSGASINCREMENTO!N24</f>
        <v>2340475.3353857673</v>
      </c>
      <c r="O21" s="508">
        <f t="shared" si="0"/>
        <v>27026884.428556662</v>
      </c>
      <c r="P21" s="509"/>
      <c r="Q21" s="509"/>
    </row>
    <row r="22" spans="1:17" x14ac:dyDescent="0.2">
      <c r="A22" s="505" t="s">
        <v>158</v>
      </c>
      <c r="B22" s="519"/>
      <c r="C22" s="507">
        <f>IEPSGASINCREMENTO!C25</f>
        <v>154097.9993391863</v>
      </c>
      <c r="D22" s="507">
        <f>IEPSGASINCREMENTO!D25</f>
        <v>157589.55052969375</v>
      </c>
      <c r="E22" s="507">
        <f>IEPSGASINCREMENTO!E25</f>
        <v>155124.90522523873</v>
      </c>
      <c r="F22" s="507">
        <f>IEPSGASINCREMENTO!F25</f>
        <v>142684.74979089765</v>
      </c>
      <c r="G22" s="507">
        <f>IEPSGASINCREMENTO!G25</f>
        <v>159988.72308969824</v>
      </c>
      <c r="H22" s="507">
        <f>IEPSGASINCREMENTO!H25</f>
        <v>156916.09781457309</v>
      </c>
      <c r="I22" s="507">
        <f>IEPSGASINCREMENTO!I25</f>
        <v>165179.91562686092</v>
      </c>
      <c r="J22" s="507">
        <f>IEPSGASINCREMENTO!J25</f>
        <v>160554.60952806062</v>
      </c>
      <c r="K22" s="507">
        <f>IEPSGASINCREMENTO!K25</f>
        <v>165596.14773138272</v>
      </c>
      <c r="L22" s="507">
        <f>IEPSGASINCREMENTO!L25</f>
        <v>166297.66097630005</v>
      </c>
      <c r="M22" s="507">
        <f>IEPSGASINCREMENTO!M25</f>
        <v>158468.7786382483</v>
      </c>
      <c r="N22" s="507">
        <f>IEPSGASINCREMENTO!N25</f>
        <v>165203.30031422907</v>
      </c>
      <c r="O22" s="508">
        <f t="shared" si="0"/>
        <v>1907702.4386043691</v>
      </c>
      <c r="P22" s="509"/>
      <c r="Q22" s="509"/>
    </row>
    <row r="23" spans="1:17" ht="13.5" thickBot="1" x14ac:dyDescent="0.25">
      <c r="A23" s="505" t="s">
        <v>159</v>
      </c>
      <c r="B23" s="518"/>
      <c r="C23" s="507">
        <f>IEPSGASINCREMENTO!C26</f>
        <v>334342.0169936064</v>
      </c>
      <c r="D23" s="507">
        <f>IEPSGASINCREMENTO!D26</f>
        <v>341917.53564067965</v>
      </c>
      <c r="E23" s="507">
        <f>IEPSGASINCREMENTO!E26</f>
        <v>336570.06529194704</v>
      </c>
      <c r="F23" s="507">
        <f>IEPSGASINCREMENTO!F26</f>
        <v>309579.01623571257</v>
      </c>
      <c r="G23" s="507">
        <f>IEPSGASINCREMENTO!G26</f>
        <v>347122.95165041002</v>
      </c>
      <c r="H23" s="507">
        <f>IEPSGASINCREMENTO!H26</f>
        <v>340456.36456714972</v>
      </c>
      <c r="I23" s="507">
        <f>IEPSGASINCREMENTO!I26</f>
        <v>358386.13346276316</v>
      </c>
      <c r="J23" s="507">
        <f>IEPSGASINCREMENTO!J26</f>
        <v>348350.73925312218</v>
      </c>
      <c r="K23" s="507">
        <f>IEPSGASINCREMENTO!K26</f>
        <v>359289.22034228191</v>
      </c>
      <c r="L23" s="507">
        <f>IEPSGASINCREMENTO!L26</f>
        <v>360811.27354387561</v>
      </c>
      <c r="M23" s="507">
        <f>IEPSGASINCREMENTO!M26</f>
        <v>343825.17169353046</v>
      </c>
      <c r="N23" s="507">
        <f>IEPSGASINCREMENTO!N26</f>
        <v>358436.87054938957</v>
      </c>
      <c r="O23" s="508">
        <f t="shared" si="0"/>
        <v>4139087.359224468</v>
      </c>
      <c r="P23" s="509"/>
    </row>
    <row r="24" spans="1:17" ht="13.5" thickBot="1" x14ac:dyDescent="0.25">
      <c r="A24" s="510" t="s">
        <v>264</v>
      </c>
      <c r="B24" s="511">
        <f t="shared" ref="B24:O24" si="1">SUM(B4:B23)</f>
        <v>0</v>
      </c>
      <c r="C24" s="512">
        <f t="shared" si="1"/>
        <v>6332533.8568252325</v>
      </c>
      <c r="D24" s="512">
        <f t="shared" si="1"/>
        <v>6476016.3564134296</v>
      </c>
      <c r="E24" s="512">
        <f t="shared" si="1"/>
        <v>6374733.7317041159</v>
      </c>
      <c r="F24" s="512">
        <f t="shared" si="1"/>
        <v>5863515.5081713423</v>
      </c>
      <c r="G24" s="512">
        <f t="shared" si="1"/>
        <v>6574608.4311304642</v>
      </c>
      <c r="H24" s="512">
        <f t="shared" si="1"/>
        <v>6448341.3564928565</v>
      </c>
      <c r="I24" s="512">
        <f t="shared" si="1"/>
        <v>6787936.3305181982</v>
      </c>
      <c r="J24" s="512">
        <f t="shared" si="1"/>
        <v>6597863.0810637213</v>
      </c>
      <c r="K24" s="512">
        <f t="shared" si="1"/>
        <v>6805041.055469105</v>
      </c>
      <c r="L24" s="512">
        <f t="shared" si="1"/>
        <v>6833869.1803863691</v>
      </c>
      <c r="M24" s="512">
        <f t="shared" si="1"/>
        <v>6512147.5313097304</v>
      </c>
      <c r="N24" s="512">
        <f t="shared" si="1"/>
        <v>6788897.3055154402</v>
      </c>
      <c r="O24" s="512">
        <f t="shared" si="1"/>
        <v>78395503.725000009</v>
      </c>
    </row>
    <row r="25" spans="1:17" x14ac:dyDescent="0.2">
      <c r="A25" s="514" t="s">
        <v>265</v>
      </c>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P25"/>
  <sheetViews>
    <sheetView workbookViewId="0">
      <selection sqref="A1:N1"/>
    </sheetView>
  </sheetViews>
  <sheetFormatPr baseColWidth="10" defaultRowHeight="12.75" x14ac:dyDescent="0.2"/>
  <cols>
    <col min="1" max="1" width="16.140625" style="500" customWidth="1"/>
    <col min="2" max="9" width="9.7109375" style="500" customWidth="1"/>
    <col min="10" max="10" width="11" style="500" customWidth="1"/>
    <col min="11" max="13" width="9.7109375" style="500" customWidth="1"/>
    <col min="14" max="14" width="11.42578125" style="500" bestFit="1" customWidth="1"/>
    <col min="15" max="16384" width="11.42578125" style="500"/>
  </cols>
  <sheetData>
    <row r="1" spans="1:16" x14ac:dyDescent="0.2">
      <c r="A1" s="1193" t="s">
        <v>436</v>
      </c>
      <c r="B1" s="1193"/>
      <c r="C1" s="1193"/>
      <c r="D1" s="1193"/>
      <c r="E1" s="1193"/>
      <c r="F1" s="1193"/>
      <c r="G1" s="1193"/>
      <c r="H1" s="1193"/>
      <c r="I1" s="1193"/>
      <c r="J1" s="1193"/>
      <c r="K1" s="1193"/>
      <c r="L1" s="1193"/>
      <c r="M1" s="1193"/>
      <c r="N1" s="1193"/>
    </row>
    <row r="2" spans="1:16" ht="13.5" thickBot="1" x14ac:dyDescent="0.25">
      <c r="N2" s="965" t="s">
        <v>555</v>
      </c>
    </row>
    <row r="3" spans="1:16" ht="28.5" customHeight="1" thickBot="1" x14ac:dyDescent="0.25">
      <c r="A3" s="777" t="s">
        <v>13</v>
      </c>
      <c r="B3" s="777" t="s">
        <v>1</v>
      </c>
      <c r="C3" s="779" t="s">
        <v>2</v>
      </c>
      <c r="D3" s="777" t="s">
        <v>3</v>
      </c>
      <c r="E3" s="779" t="s">
        <v>4</v>
      </c>
      <c r="F3" s="777" t="s">
        <v>5</v>
      </c>
      <c r="G3" s="777" t="s">
        <v>6</v>
      </c>
      <c r="H3" s="777" t="s">
        <v>7</v>
      </c>
      <c r="I3" s="779" t="s">
        <v>8</v>
      </c>
      <c r="J3" s="777" t="s">
        <v>9</v>
      </c>
      <c r="K3" s="779" t="s">
        <v>10</v>
      </c>
      <c r="L3" s="777" t="s">
        <v>11</v>
      </c>
      <c r="M3" s="777" t="s">
        <v>12</v>
      </c>
      <c r="N3" s="780" t="s">
        <v>160</v>
      </c>
    </row>
    <row r="4" spans="1:16" x14ac:dyDescent="0.2">
      <c r="A4" s="505" t="s">
        <v>258</v>
      </c>
      <c r="B4" s="507">
        <f>'FOFIR  INCREMENTO'!C7+'FOFIR ESTIMACIONES'!C7</f>
        <v>172364.06274071761</v>
      </c>
      <c r="C4" s="507">
        <f>'FOFIR  INCREMENTO'!D7+'FOFIR ESTIMACIONES'!D7</f>
        <v>121121.45455340362</v>
      </c>
      <c r="D4" s="507">
        <f>'FOFIR  INCREMENTO'!E7+'FOFIR ESTIMACIONES'!E7</f>
        <v>121121.45455340362</v>
      </c>
      <c r="E4" s="507">
        <f>'FOFIR  INCREMENTO'!F7+'FOFIR ESTIMACIONES'!F7</f>
        <v>207541.89294860681</v>
      </c>
      <c r="F4" s="507">
        <f>'FOFIR  INCREMENTO'!G7+'FOFIR ESTIMACIONES'!G7</f>
        <v>121121.45455340362</v>
      </c>
      <c r="G4" s="507">
        <f>'FOFIR  INCREMENTO'!H7+'FOFIR ESTIMACIONES'!H7</f>
        <v>121121.45455340362</v>
      </c>
      <c r="H4" s="507">
        <f>'FOFIR  INCREMENTO'!I7+'FOFIR ESTIMACIONES'!I7</f>
        <v>181389.34439194214</v>
      </c>
      <c r="I4" s="507">
        <f>'FOFIR  INCREMENTO'!J7+'FOFIR ESTIMACIONES'!J7</f>
        <v>121121.45455340363</v>
      </c>
      <c r="J4" s="507">
        <f>'FOFIR  INCREMENTO'!K7+'FOFIR ESTIMACIONES'!K7</f>
        <v>121121.45455340363</v>
      </c>
      <c r="K4" s="507">
        <f>'FOFIR  INCREMENTO'!L7+'FOFIR ESTIMACIONES'!L7</f>
        <v>186385.50739103209</v>
      </c>
      <c r="L4" s="507">
        <f>'FOFIR  INCREMENTO'!M7+'FOFIR ESTIMACIONES'!M7</f>
        <v>121121.45455340366</v>
      </c>
      <c r="M4" s="507">
        <f>'FOFIR  INCREMENTO'!N7+'FOFIR ESTIMACIONES'!N7</f>
        <v>121121.45455340366</v>
      </c>
      <c r="N4" s="508">
        <f t="shared" ref="N4:N24" si="0">SUM(B4:M4)</f>
        <v>1716652.4438995277</v>
      </c>
      <c r="P4" s="509"/>
    </row>
    <row r="5" spans="1:16" x14ac:dyDescent="0.2">
      <c r="A5" s="505" t="s">
        <v>141</v>
      </c>
      <c r="B5" s="507">
        <f>'FOFIR  INCREMENTO'!C8+'FOFIR ESTIMACIONES'!C8</f>
        <v>67927.151032718975</v>
      </c>
      <c r="C5" s="507">
        <f>'FOFIR  INCREMENTO'!D8+'FOFIR ESTIMACIONES'!D8</f>
        <v>49315.19427394541</v>
      </c>
      <c r="D5" s="507">
        <f>'FOFIR  INCREMENTO'!E8+'FOFIR ESTIMACIONES'!E8</f>
        <v>49315.19427394541</v>
      </c>
      <c r="E5" s="507">
        <f>'FOFIR  INCREMENTO'!F8+'FOFIR ESTIMACIONES'!F8</f>
        <v>81226.170453678395</v>
      </c>
      <c r="F5" s="507">
        <f>'FOFIR  INCREMENTO'!G8+'FOFIR ESTIMACIONES'!G8</f>
        <v>49315.19427394541</v>
      </c>
      <c r="G5" s="507">
        <f>'FOFIR  INCREMENTO'!H8+'FOFIR ESTIMACIONES'!H8</f>
        <v>49315.19427394541</v>
      </c>
      <c r="H5" s="507">
        <f>'FOFIR  INCREMENTO'!I8+'FOFIR ESTIMACIONES'!I8</f>
        <v>70180.653774051199</v>
      </c>
      <c r="I5" s="507">
        <f>'FOFIR  INCREMENTO'!J8+'FOFIR ESTIMACIONES'!J8</f>
        <v>49315.194273945417</v>
      </c>
      <c r="J5" s="507">
        <f>'FOFIR  INCREMENTO'!K8+'FOFIR ESTIMACIONES'!K8</f>
        <v>49315.194273945417</v>
      </c>
      <c r="K5" s="507">
        <f>'FOFIR  INCREMENTO'!L8+'FOFIR ESTIMACIONES'!L8</f>
        <v>72423.874697695835</v>
      </c>
      <c r="L5" s="507">
        <f>'FOFIR  INCREMENTO'!M8+'FOFIR ESTIMACIONES'!M8</f>
        <v>49315.194273945432</v>
      </c>
      <c r="M5" s="507">
        <f>'FOFIR  INCREMENTO'!N8+'FOFIR ESTIMACIONES'!N8</f>
        <v>49315.194273945432</v>
      </c>
      <c r="N5" s="508">
        <f t="shared" si="0"/>
        <v>686279.40414970764</v>
      </c>
      <c r="P5" s="509"/>
    </row>
    <row r="6" spans="1:16" x14ac:dyDescent="0.2">
      <c r="A6" s="505" t="s">
        <v>142</v>
      </c>
      <c r="B6" s="507">
        <f>'FOFIR  INCREMENTO'!C9+'FOFIR ESTIMACIONES'!C9</f>
        <v>47755.322082462219</v>
      </c>
      <c r="C6" s="507">
        <f>'FOFIR  INCREMENTO'!D9+'FOFIR ESTIMACIONES'!D9</f>
        <v>35973.714433378031</v>
      </c>
      <c r="D6" s="507">
        <f>'FOFIR  INCREMENTO'!E9+'FOFIR ESTIMACIONES'!E9</f>
        <v>35973.714433378031</v>
      </c>
      <c r="E6" s="507">
        <f>'FOFIR  INCREMENTO'!F9+'FOFIR ESTIMACIONES'!F9</f>
        <v>56640.272189407857</v>
      </c>
      <c r="F6" s="507">
        <f>'FOFIR  INCREMENTO'!G9+'FOFIR ESTIMACIONES'!G9</f>
        <v>35973.714433378031</v>
      </c>
      <c r="G6" s="507">
        <f>'FOFIR  INCREMENTO'!H9+'FOFIR ESTIMACIONES'!H9</f>
        <v>35973.714433378031</v>
      </c>
      <c r="H6" s="507">
        <f>'FOFIR  INCREMENTO'!I9+'FOFIR ESTIMACIONES'!I9</f>
        <v>48266.146674682452</v>
      </c>
      <c r="I6" s="507">
        <f>'FOFIR  INCREMENTO'!J9+'FOFIR ESTIMACIONES'!J9</f>
        <v>35973.714433378038</v>
      </c>
      <c r="J6" s="507">
        <f>'FOFIR  INCREMENTO'!K9+'FOFIR ESTIMACIONES'!K9</f>
        <v>35973.714433378038</v>
      </c>
      <c r="K6" s="507">
        <f>'FOFIR  INCREMENTO'!L9+'FOFIR ESTIMACIONES'!L9</f>
        <v>50069.128401967508</v>
      </c>
      <c r="L6" s="507">
        <f>'FOFIR  INCREMENTO'!M9+'FOFIR ESTIMACIONES'!M9</f>
        <v>35973.714433378045</v>
      </c>
      <c r="M6" s="507">
        <f>'FOFIR  INCREMENTO'!N9+'FOFIR ESTIMACIONES'!N9</f>
        <v>35973.714433378045</v>
      </c>
      <c r="N6" s="508">
        <f t="shared" si="0"/>
        <v>490520.58481554431</v>
      </c>
      <c r="P6" s="509"/>
    </row>
    <row r="7" spans="1:16" x14ac:dyDescent="0.2">
      <c r="A7" s="312" t="s">
        <v>349</v>
      </c>
      <c r="B7" s="507">
        <f>'FOFIR  INCREMENTO'!C10+'FOFIR ESTIMACIONES'!C10</f>
        <v>3827923.4480657158</v>
      </c>
      <c r="C7" s="507">
        <f>'FOFIR  INCREMENTO'!D10+'FOFIR ESTIMACIONES'!D10</f>
        <v>473267.10249830817</v>
      </c>
      <c r="D7" s="507">
        <f>'FOFIR  INCREMENTO'!E10+'FOFIR ESTIMACIONES'!E10</f>
        <v>473267.10249830817</v>
      </c>
      <c r="E7" s="507">
        <f>'FOFIR  INCREMENTO'!F10+'FOFIR ESTIMACIONES'!F10</f>
        <v>5399624.5918528289</v>
      </c>
      <c r="F7" s="507">
        <f>'FOFIR  INCREMENTO'!G10+'FOFIR ESTIMACIONES'!G10</f>
        <v>473267.10249830817</v>
      </c>
      <c r="G7" s="507">
        <f>'FOFIR  INCREMENTO'!H10+'FOFIR ESTIMACIONES'!H10</f>
        <v>473267.10249830817</v>
      </c>
      <c r="H7" s="507">
        <f>'FOFIR  INCREMENTO'!I10+'FOFIR ESTIMACIONES'!I10</f>
        <v>5854122.926079182</v>
      </c>
      <c r="I7" s="507">
        <f>'FOFIR  INCREMENTO'!J10+'FOFIR ESTIMACIONES'!J10</f>
        <v>473267.10249830806</v>
      </c>
      <c r="J7" s="507">
        <f>'FOFIR  INCREMENTO'!K10+'FOFIR ESTIMACIONES'!K10</f>
        <v>473267.10249830806</v>
      </c>
      <c r="K7" s="507">
        <f>'FOFIR  INCREMENTO'!L10+'FOFIR ESTIMACIONES'!L10</f>
        <v>5580845.1334920498</v>
      </c>
      <c r="L7" s="507">
        <f>'FOFIR  INCREMENTO'!M10+'FOFIR ESTIMACIONES'!M10</f>
        <v>473267.10249830794</v>
      </c>
      <c r="M7" s="507">
        <f>'FOFIR  INCREMENTO'!N10+'FOFIR ESTIMACIONES'!N10</f>
        <v>473267.10249830794</v>
      </c>
      <c r="N7" s="508">
        <f t="shared" si="0"/>
        <v>24448652.919476237</v>
      </c>
      <c r="P7" s="509"/>
    </row>
    <row r="8" spans="1:16" x14ac:dyDescent="0.2">
      <c r="A8" s="505" t="s">
        <v>144</v>
      </c>
      <c r="B8" s="507">
        <f>'FOFIR  INCREMENTO'!C11+'FOFIR ESTIMACIONES'!C11</f>
        <v>539349.45321107341</v>
      </c>
      <c r="C8" s="507">
        <f>'FOFIR  INCREMENTO'!D11+'FOFIR ESTIMACIONES'!D11</f>
        <v>231986.85204390372</v>
      </c>
      <c r="D8" s="507">
        <f>'FOFIR  INCREMENTO'!E11+'FOFIR ESTIMACIONES'!E11</f>
        <v>231986.85204390372</v>
      </c>
      <c r="E8" s="507">
        <f>'FOFIR  INCREMENTO'!F11+'FOFIR ESTIMACIONES'!F11</f>
        <v>701852.3085316614</v>
      </c>
      <c r="F8" s="507">
        <f>'FOFIR  INCREMENTO'!G11+'FOFIR ESTIMACIONES'!G11</f>
        <v>231986.85204390372</v>
      </c>
      <c r="G8" s="507">
        <f>'FOFIR  INCREMENTO'!H11+'FOFIR ESTIMACIONES'!H11</f>
        <v>231986.85204390372</v>
      </c>
      <c r="H8" s="507">
        <f>'FOFIR  INCREMENTO'!I11+'FOFIR ESTIMACIONES'!I11</f>
        <v>688683.67754997243</v>
      </c>
      <c r="I8" s="507">
        <f>'FOFIR  INCREMENTO'!J11+'FOFIR ESTIMACIONES'!J11</f>
        <v>231986.85204390378</v>
      </c>
      <c r="J8" s="507">
        <f>'FOFIR  INCREMENTO'!K11+'FOFIR ESTIMACIONES'!K11</f>
        <v>231986.85204390378</v>
      </c>
      <c r="K8" s="507">
        <f>'FOFIR  INCREMENTO'!L11+'FOFIR ESTIMACIONES'!L11</f>
        <v>678833.1331547664</v>
      </c>
      <c r="L8" s="507">
        <f>'FOFIR  INCREMENTO'!M11+'FOFIR ESTIMACIONES'!M11</f>
        <v>231986.85204390384</v>
      </c>
      <c r="M8" s="507">
        <f>'FOFIR  INCREMENTO'!N11+'FOFIR ESTIMACIONES'!N11</f>
        <v>231986.85204390384</v>
      </c>
      <c r="N8" s="508">
        <f t="shared" si="0"/>
        <v>4464613.3887987034</v>
      </c>
      <c r="P8" s="509"/>
    </row>
    <row r="9" spans="1:16" x14ac:dyDescent="0.2">
      <c r="A9" s="505" t="s">
        <v>260</v>
      </c>
      <c r="B9" s="507">
        <f>'FOFIR  INCREMENTO'!C12+'FOFIR ESTIMACIONES'!C12</f>
        <v>136375.86357481885</v>
      </c>
      <c r="C9" s="507">
        <f>'FOFIR  INCREMENTO'!D12+'FOFIR ESTIMACIONES'!D12</f>
        <v>106022.20360338339</v>
      </c>
      <c r="D9" s="507">
        <f>'FOFIR  INCREMENTO'!E12+'FOFIR ESTIMACIONES'!E12</f>
        <v>106022.20360338339</v>
      </c>
      <c r="E9" s="507">
        <f>'FOFIR  INCREMENTO'!F12+'FOFIR ESTIMACIONES'!F12</f>
        <v>160575.1077735624</v>
      </c>
      <c r="F9" s="507">
        <f>'FOFIR  INCREMENTO'!G12+'FOFIR ESTIMACIONES'!G12</f>
        <v>106022.20360338339</v>
      </c>
      <c r="G9" s="507">
        <f>'FOFIR  INCREMENTO'!H12+'FOFIR ESTIMACIONES'!H12</f>
        <v>106022.20360338339</v>
      </c>
      <c r="H9" s="507">
        <f>'FOFIR  INCREMENTO'!I12+'FOFIR ESTIMACIONES'!I12</f>
        <v>135123.70114769496</v>
      </c>
      <c r="I9" s="507">
        <f>'FOFIR  INCREMENTO'!J12+'FOFIR ESTIMACIONES'!J12</f>
        <v>106022.2036033834</v>
      </c>
      <c r="J9" s="507">
        <f>'FOFIR  INCREMENTO'!K12+'FOFIR ESTIMACIONES'!K12</f>
        <v>106022.2036033834</v>
      </c>
      <c r="K9" s="507">
        <f>'FOFIR  INCREMENTO'!L12+'FOFIR ESTIMACIONES'!L12</f>
        <v>140843.03356793796</v>
      </c>
      <c r="L9" s="507">
        <f>'FOFIR  INCREMENTO'!M12+'FOFIR ESTIMACIONES'!M12</f>
        <v>106022.20360338343</v>
      </c>
      <c r="M9" s="507">
        <f>'FOFIR  INCREMENTO'!N12+'FOFIR ESTIMACIONES'!N12</f>
        <v>106022.20360338343</v>
      </c>
      <c r="N9" s="508">
        <f t="shared" si="0"/>
        <v>1421095.3348910813</v>
      </c>
      <c r="P9" s="509"/>
    </row>
    <row r="10" spans="1:16" x14ac:dyDescent="0.2">
      <c r="A10" s="505" t="s">
        <v>146</v>
      </c>
      <c r="B10" s="507">
        <f>'FOFIR  INCREMENTO'!C13+'FOFIR ESTIMACIONES'!C13</f>
        <v>46991.491020506626</v>
      </c>
      <c r="C10" s="507">
        <f>'FOFIR  INCREMENTO'!D13+'FOFIR ESTIMACIONES'!D13</f>
        <v>36546.964589750693</v>
      </c>
      <c r="D10" s="507">
        <f>'FOFIR  INCREMENTO'!E13+'FOFIR ESTIMACIONES'!E13</f>
        <v>36546.964589750693</v>
      </c>
      <c r="E10" s="507">
        <f>'FOFIR  INCREMENTO'!F13+'FOFIR ESTIMACIONES'!F13</f>
        <v>55324.722419185237</v>
      </c>
      <c r="F10" s="507">
        <f>'FOFIR  INCREMENTO'!G13+'FOFIR ESTIMACIONES'!G13</f>
        <v>36546.964589750693</v>
      </c>
      <c r="G10" s="507">
        <f>'FOFIR  INCREMENTO'!H13+'FOFIR ESTIMACIONES'!H13</f>
        <v>36546.964589750693</v>
      </c>
      <c r="H10" s="507">
        <f>'FOFIR  INCREMENTO'!I13+'FOFIR ESTIMACIONES'!I13</f>
        <v>46548.056032215572</v>
      </c>
      <c r="I10" s="507">
        <f>'FOFIR  INCREMENTO'!J13+'FOFIR ESTIMACIONES'!J13</f>
        <v>36546.964589750693</v>
      </c>
      <c r="J10" s="507">
        <f>'FOFIR  INCREMENTO'!K13+'FOFIR ESTIMACIONES'!K13</f>
        <v>36546.964589750693</v>
      </c>
      <c r="K10" s="507">
        <f>'FOFIR  INCREMENTO'!L13+'FOFIR ESTIMACIONES'!L13</f>
        <v>48521.305452163455</v>
      </c>
      <c r="L10" s="507">
        <f>'FOFIR  INCREMENTO'!M13+'FOFIR ESTIMACIONES'!M13</f>
        <v>36546.964589750707</v>
      </c>
      <c r="M10" s="507">
        <f>'FOFIR  INCREMENTO'!N13+'FOFIR ESTIMACIONES'!N13</f>
        <v>36546.964589750707</v>
      </c>
      <c r="N10" s="508">
        <f t="shared" si="0"/>
        <v>489761.29164207639</v>
      </c>
      <c r="P10" s="509"/>
    </row>
    <row r="11" spans="1:16" x14ac:dyDescent="0.2">
      <c r="A11" s="505" t="s">
        <v>147</v>
      </c>
      <c r="B11" s="507">
        <f>'FOFIR  INCREMENTO'!C14+'FOFIR ESTIMACIONES'!C14</f>
        <v>133366.85598736929</v>
      </c>
      <c r="C11" s="507">
        <f>'FOFIR  INCREMENTO'!D14+'FOFIR ESTIMACIONES'!D14</f>
        <v>90213.982920965835</v>
      </c>
      <c r="D11" s="507">
        <f>'FOFIR  INCREMENTO'!E14+'FOFIR ESTIMACIONES'!E14</f>
        <v>90213.982920965835</v>
      </c>
      <c r="E11" s="507">
        <f>'FOFIR  INCREMENTO'!F14+'FOFIR ESTIMACIONES'!F14</f>
        <v>161835.21789455219</v>
      </c>
      <c r="F11" s="507">
        <f>'FOFIR  INCREMENTO'!G14+'FOFIR ESTIMACIONES'!G14</f>
        <v>90213.982920965835</v>
      </c>
      <c r="G11" s="507">
        <f>'FOFIR  INCREMENTO'!H14+'FOFIR ESTIMACIONES'!H14</f>
        <v>90213.982920965835</v>
      </c>
      <c r="H11" s="507">
        <f>'FOFIR  INCREMENTO'!I14+'FOFIR ESTIMACIONES'!I14</f>
        <v>143236.16820008174</v>
      </c>
      <c r="I11" s="507">
        <f>'FOFIR  INCREMENTO'!J14+'FOFIR ESTIMACIONES'!J14</f>
        <v>90213.982920965849</v>
      </c>
      <c r="J11" s="507">
        <f>'FOFIR  INCREMENTO'!K14+'FOFIR ESTIMACIONES'!K14</f>
        <v>90213.982920965849</v>
      </c>
      <c r="K11" s="507">
        <f>'FOFIR  INCREMENTO'!L14+'FOFIR ESTIMACIONES'!L14</f>
        <v>146494.59287311125</v>
      </c>
      <c r="L11" s="507">
        <f>'FOFIR  INCREMENTO'!M14+'FOFIR ESTIMACIONES'!M14</f>
        <v>90213.982920965878</v>
      </c>
      <c r="M11" s="507">
        <f>'FOFIR  INCREMENTO'!N14+'FOFIR ESTIMACIONES'!N14</f>
        <v>90213.982920965878</v>
      </c>
      <c r="N11" s="508">
        <f t="shared" si="0"/>
        <v>1306644.6983228414</v>
      </c>
      <c r="P11" s="509"/>
    </row>
    <row r="12" spans="1:16" x14ac:dyDescent="0.2">
      <c r="A12" s="505" t="s">
        <v>148</v>
      </c>
      <c r="B12" s="507">
        <f>'FOFIR  INCREMENTO'!C15+'FOFIR ESTIMACIONES'!C15</f>
        <v>75568.919737077667</v>
      </c>
      <c r="C12" s="507">
        <f>'FOFIR  INCREMENTO'!D15+'FOFIR ESTIMACIONES'!D15</f>
        <v>55856.552441351188</v>
      </c>
      <c r="D12" s="507">
        <f>'FOFIR  INCREMENTO'!E15+'FOFIR ESTIMACIONES'!E15</f>
        <v>55856.552441351188</v>
      </c>
      <c r="E12" s="507">
        <f>'FOFIR  INCREMENTO'!F15+'FOFIR ESTIMACIONES'!F15</f>
        <v>90009.814475402047</v>
      </c>
      <c r="F12" s="507">
        <f>'FOFIR  INCREMENTO'!G15+'FOFIR ESTIMACIONES'!G15</f>
        <v>55856.552441351188</v>
      </c>
      <c r="G12" s="507">
        <f>'FOFIR  INCREMENTO'!H15+'FOFIR ESTIMACIONES'!H15</f>
        <v>55856.552441351188</v>
      </c>
      <c r="H12" s="507">
        <f>'FOFIR  INCREMENTO'!I15+'FOFIR ESTIMACIONES'!I15</f>
        <v>77257.694545396298</v>
      </c>
      <c r="I12" s="507">
        <f>'FOFIR  INCREMENTO'!J15+'FOFIR ESTIMACIONES'!J15</f>
        <v>55856.552441351196</v>
      </c>
      <c r="J12" s="507">
        <f>'FOFIR  INCREMENTO'!K15+'FOFIR ESTIMACIONES'!K15</f>
        <v>55856.552441351196</v>
      </c>
      <c r="K12" s="507">
        <f>'FOFIR  INCREMENTO'!L15+'FOFIR ESTIMACIONES'!L15</f>
        <v>79925.477642560028</v>
      </c>
      <c r="L12" s="507">
        <f>'FOFIR  INCREMENTO'!M15+'FOFIR ESTIMACIONES'!M15</f>
        <v>55856.55244135121</v>
      </c>
      <c r="M12" s="507">
        <f>'FOFIR  INCREMENTO'!N15+'FOFIR ESTIMACIONES'!N15</f>
        <v>55856.55244135121</v>
      </c>
      <c r="N12" s="508">
        <f t="shared" si="0"/>
        <v>769614.32593124558</v>
      </c>
      <c r="P12" s="509"/>
    </row>
    <row r="13" spans="1:16" x14ac:dyDescent="0.2">
      <c r="A13" s="505" t="s">
        <v>149</v>
      </c>
      <c r="B13" s="507">
        <f>'FOFIR  INCREMENTO'!C16+'FOFIR ESTIMACIONES'!C16</f>
        <v>54469.020699089626</v>
      </c>
      <c r="C13" s="507">
        <f>'FOFIR  INCREMENTO'!D16+'FOFIR ESTIMACIONES'!D16</f>
        <v>41852.261036470365</v>
      </c>
      <c r="D13" s="507">
        <f>'FOFIR  INCREMENTO'!E16+'FOFIR ESTIMACIONES'!E16</f>
        <v>41852.261036470365</v>
      </c>
      <c r="E13" s="507">
        <f>'FOFIR  INCREMENTO'!F16+'FOFIR ESTIMACIONES'!F16</f>
        <v>64310.233886478825</v>
      </c>
      <c r="F13" s="507">
        <f>'FOFIR  INCREMENTO'!G16+'FOFIR ESTIMACIONES'!G16</f>
        <v>41852.261036470365</v>
      </c>
      <c r="G13" s="507">
        <f>'FOFIR  INCREMENTO'!H16+'FOFIR ESTIMACIONES'!H16</f>
        <v>41852.261036470365</v>
      </c>
      <c r="H13" s="507">
        <f>'FOFIR  INCREMENTO'!I16+'FOFIR ESTIMACIONES'!I16</f>
        <v>54375.29407755116</v>
      </c>
      <c r="I13" s="507">
        <f>'FOFIR  INCREMENTO'!J16+'FOFIR ESTIMACIONES'!J16</f>
        <v>41852.261036470372</v>
      </c>
      <c r="J13" s="507">
        <f>'FOFIR  INCREMENTO'!K16+'FOFIR ESTIMACIONES'!K16</f>
        <v>41852.261036470372</v>
      </c>
      <c r="K13" s="507">
        <f>'FOFIR  INCREMENTO'!L16+'FOFIR ESTIMACIONES'!L16</f>
        <v>56574.090743432047</v>
      </c>
      <c r="L13" s="507">
        <f>'FOFIR  INCREMENTO'!M16+'FOFIR ESTIMACIONES'!M16</f>
        <v>41852.261036470387</v>
      </c>
      <c r="M13" s="507">
        <f>'FOFIR  INCREMENTO'!N16+'FOFIR ESTIMACIONES'!N16</f>
        <v>41852.261036470387</v>
      </c>
      <c r="N13" s="508">
        <f t="shared" si="0"/>
        <v>564546.72769831459</v>
      </c>
      <c r="P13" s="509"/>
    </row>
    <row r="14" spans="1:16" x14ac:dyDescent="0.2">
      <c r="A14" s="505" t="s">
        <v>150</v>
      </c>
      <c r="B14" s="507">
        <f>'FOFIR  INCREMENTO'!C17+'FOFIR ESTIMACIONES'!C17</f>
        <v>148647.32124579547</v>
      </c>
      <c r="C14" s="507">
        <f>'FOFIR  INCREMENTO'!D17+'FOFIR ESTIMACIONES'!D17</f>
        <v>111888.11030367634</v>
      </c>
      <c r="D14" s="507">
        <f>'FOFIR  INCREMENTO'!E17+'FOFIR ESTIMACIONES'!E17</f>
        <v>111888.11030367634</v>
      </c>
      <c r="E14" s="507">
        <f>'FOFIR  INCREMENTO'!F17+'FOFIR ESTIMACIONES'!F17</f>
        <v>176334.32178417087</v>
      </c>
      <c r="F14" s="507">
        <f>'FOFIR  INCREMENTO'!G17+'FOFIR ESTIMACIONES'!G17</f>
        <v>111888.11030367634</v>
      </c>
      <c r="G14" s="507">
        <f>'FOFIR  INCREMENTO'!H17+'FOFIR ESTIMACIONES'!H17</f>
        <v>111888.11030367634</v>
      </c>
      <c r="H14" s="507">
        <f>'FOFIR  INCREMENTO'!I17+'FOFIR ESTIMACIONES'!I17</f>
        <v>150308.82365489515</v>
      </c>
      <c r="I14" s="507">
        <f>'FOFIR  INCREMENTO'!J17+'FOFIR ESTIMACIONES'!J17</f>
        <v>111888.11030367635</v>
      </c>
      <c r="J14" s="507">
        <f>'FOFIR  INCREMENTO'!K17+'FOFIR ESTIMACIONES'!K17</f>
        <v>111888.11030367635</v>
      </c>
      <c r="K14" s="507">
        <f>'FOFIR  INCREMENTO'!L17+'FOFIR ESTIMACIONES'!L17</f>
        <v>155905.89949562936</v>
      </c>
      <c r="L14" s="507">
        <f>'FOFIR  INCREMENTO'!M17+'FOFIR ESTIMACIONES'!M17</f>
        <v>111888.11030367638</v>
      </c>
      <c r="M14" s="507">
        <f>'FOFIR  INCREMENTO'!N17+'FOFIR ESTIMACIONES'!N17</f>
        <v>111888.11030367638</v>
      </c>
      <c r="N14" s="508">
        <f t="shared" si="0"/>
        <v>1526301.2486099019</v>
      </c>
      <c r="P14" s="509"/>
    </row>
    <row r="15" spans="1:16" x14ac:dyDescent="0.2">
      <c r="A15" s="505" t="s">
        <v>151</v>
      </c>
      <c r="B15" s="507">
        <f>'FOFIR  INCREMENTO'!C18+'FOFIR ESTIMACIONES'!C18</f>
        <v>96662.397055373891</v>
      </c>
      <c r="C15" s="507">
        <f>'FOFIR  INCREMENTO'!D18+'FOFIR ESTIMACIONES'!D18</f>
        <v>72928.92307918091</v>
      </c>
      <c r="D15" s="507">
        <f>'FOFIR  INCREMENTO'!E18+'FOFIR ESTIMACIONES'!E18</f>
        <v>72928.92307918091</v>
      </c>
      <c r="E15" s="507">
        <f>'FOFIR  INCREMENTO'!F18+'FOFIR ESTIMACIONES'!F18</f>
        <v>114605.97005769958</v>
      </c>
      <c r="F15" s="507">
        <f>'FOFIR  INCREMENTO'!G18+'FOFIR ESTIMACIONES'!G18</f>
        <v>72928.92307918091</v>
      </c>
      <c r="G15" s="507">
        <f>'FOFIR  INCREMENTO'!H18+'FOFIR ESTIMACIONES'!H18</f>
        <v>72928.92307918091</v>
      </c>
      <c r="H15" s="507">
        <f>'FOFIR  INCREMENTO'!I18+'FOFIR ESTIMACIONES'!I18</f>
        <v>97602.561300874891</v>
      </c>
      <c r="I15" s="507">
        <f>'FOFIR  INCREMENTO'!J18+'FOFIR ESTIMACIONES'!J18</f>
        <v>72928.923079180924</v>
      </c>
      <c r="J15" s="507">
        <f>'FOFIR  INCREMENTO'!K18+'FOFIR ESTIMACIONES'!K18</f>
        <v>72928.923079180924</v>
      </c>
      <c r="K15" s="507">
        <f>'FOFIR  INCREMENTO'!L18+'FOFIR ESTIMACIONES'!L18</f>
        <v>101271.75006794698</v>
      </c>
      <c r="L15" s="507">
        <f>'FOFIR  INCREMENTO'!M18+'FOFIR ESTIMACIONES'!M18</f>
        <v>72928.923079180939</v>
      </c>
      <c r="M15" s="507">
        <f>'FOFIR  INCREMENTO'!N18+'FOFIR ESTIMACIONES'!N18</f>
        <v>72928.923079180939</v>
      </c>
      <c r="N15" s="508">
        <f t="shared" si="0"/>
        <v>993574.06311534275</v>
      </c>
      <c r="P15" s="509"/>
    </row>
    <row r="16" spans="1:16" x14ac:dyDescent="0.2">
      <c r="A16" s="505" t="s">
        <v>152</v>
      </c>
      <c r="B16" s="507">
        <f>'FOFIR  INCREMENTO'!C19+'FOFIR ESTIMACIONES'!C19</f>
        <v>182794.05810286742</v>
      </c>
      <c r="C16" s="507">
        <f>'FOFIR  INCREMENTO'!D19+'FOFIR ESTIMACIONES'!D19</f>
        <v>130878.82769068543</v>
      </c>
      <c r="D16" s="507">
        <f>'FOFIR  INCREMENTO'!E19+'FOFIR ESTIMACIONES'!E19</f>
        <v>130878.82769068543</v>
      </c>
      <c r="E16" s="507">
        <f>'FOFIR  INCREMENTO'!F19+'FOFIR ESTIMACIONES'!F19</f>
        <v>219234.66880470523</v>
      </c>
      <c r="F16" s="507">
        <f>'FOFIR  INCREMENTO'!G19+'FOFIR ESTIMACIONES'!G19</f>
        <v>130878.82769068543</v>
      </c>
      <c r="G16" s="507">
        <f>'FOFIR  INCREMENTO'!H19+'FOFIR ESTIMACIONES'!H19</f>
        <v>130878.82769068543</v>
      </c>
      <c r="H16" s="507">
        <f>'FOFIR  INCREMENTO'!I19+'FOFIR ESTIMACIONES'!I19</f>
        <v>190365.50595613028</v>
      </c>
      <c r="I16" s="507">
        <f>'FOFIR  INCREMENTO'!J19+'FOFIR ESTIMACIONES'!J19</f>
        <v>130878.82769068544</v>
      </c>
      <c r="J16" s="507">
        <f>'FOFIR  INCREMENTO'!K19+'FOFIR ESTIMACIONES'!K19</f>
        <v>130878.82769068544</v>
      </c>
      <c r="K16" s="507">
        <f>'FOFIR  INCREMENTO'!L19+'FOFIR ESTIMACIONES'!L19</f>
        <v>196084.88971434103</v>
      </c>
      <c r="L16" s="507">
        <f>'FOFIR  INCREMENTO'!M19+'FOFIR ESTIMACIONES'!M19</f>
        <v>130878.82769068547</v>
      </c>
      <c r="M16" s="507">
        <f>'FOFIR  INCREMENTO'!N19+'FOFIR ESTIMACIONES'!N19</f>
        <v>130878.82769068547</v>
      </c>
      <c r="N16" s="508">
        <f t="shared" si="0"/>
        <v>1835509.7441035272</v>
      </c>
      <c r="P16" s="509"/>
    </row>
    <row r="17" spans="1:16" x14ac:dyDescent="0.2">
      <c r="A17" s="505" t="s">
        <v>261</v>
      </c>
      <c r="B17" s="507">
        <f>'FOFIR  INCREMENTO'!C20+'FOFIR ESTIMACIONES'!C20</f>
        <v>32496.815029437766</v>
      </c>
      <c r="C17" s="507">
        <f>'FOFIR  INCREMENTO'!D20+'FOFIR ESTIMACIONES'!D20</f>
        <v>24733.374591047843</v>
      </c>
      <c r="D17" s="507">
        <f>'FOFIR  INCREMENTO'!E20+'FOFIR ESTIMACIONES'!E20</f>
        <v>24733.374591047843</v>
      </c>
      <c r="E17" s="507">
        <f>'FOFIR  INCREMENTO'!F20+'FOFIR ESTIMACIONES'!F20</f>
        <v>38452.399917010123</v>
      </c>
      <c r="F17" s="507">
        <f>'FOFIR  INCREMENTO'!G20+'FOFIR ESTIMACIONES'!G20</f>
        <v>24733.374591047843</v>
      </c>
      <c r="G17" s="507">
        <f>'FOFIR  INCREMENTO'!H20+'FOFIR ESTIMACIONES'!H20</f>
        <v>24733.374591047843</v>
      </c>
      <c r="H17" s="507">
        <f>'FOFIR  INCREMENTO'!I20+'FOFIR ESTIMACIONES'!I20</f>
        <v>32635.398834657331</v>
      </c>
      <c r="I17" s="507">
        <f>'FOFIR  INCREMENTO'!J20+'FOFIR ESTIMACIONES'!J20</f>
        <v>24733.374591047846</v>
      </c>
      <c r="J17" s="507">
        <f>'FOFIR  INCREMENTO'!K20+'FOFIR ESTIMACIONES'!K20</f>
        <v>24733.374591047846</v>
      </c>
      <c r="K17" s="507">
        <f>'FOFIR  INCREMENTO'!L20+'FOFIR ESTIMACIONES'!L20</f>
        <v>33906.291783468907</v>
      </c>
      <c r="L17" s="507">
        <f>'FOFIR  INCREMENTO'!M20+'FOFIR ESTIMACIONES'!M20</f>
        <v>24733.37459104785</v>
      </c>
      <c r="M17" s="507">
        <f>'FOFIR  INCREMENTO'!N20+'FOFIR ESTIMACIONES'!N20</f>
        <v>24733.37459104785</v>
      </c>
      <c r="N17" s="508">
        <f t="shared" si="0"/>
        <v>335357.90229295695</v>
      </c>
      <c r="P17" s="509"/>
    </row>
    <row r="18" spans="1:16" x14ac:dyDescent="0.2">
      <c r="A18" s="505" t="s">
        <v>262</v>
      </c>
      <c r="B18" s="507">
        <f>'FOFIR  INCREMENTO'!C21+'FOFIR ESTIMACIONES'!C21</f>
        <v>101346.48432652533</v>
      </c>
      <c r="C18" s="507">
        <f>'FOFIR  INCREMENTO'!D21+'FOFIR ESTIMACIONES'!D21</f>
        <v>75324.770375307853</v>
      </c>
      <c r="D18" s="507">
        <f>'FOFIR  INCREMENTO'!E21+'FOFIR ESTIMACIONES'!E21</f>
        <v>75324.770375307853</v>
      </c>
      <c r="E18" s="507">
        <f>'FOFIR  INCREMENTO'!F21+'FOFIR ESTIMACIONES'!F21</f>
        <v>120565.44044598877</v>
      </c>
      <c r="F18" s="507">
        <f>'FOFIR  INCREMENTO'!G21+'FOFIR ESTIMACIONES'!G21</f>
        <v>75324.770375307853</v>
      </c>
      <c r="G18" s="507">
        <f>'FOFIR  INCREMENTO'!H21+'FOFIR ESTIMACIONES'!H21</f>
        <v>75324.770375307853</v>
      </c>
      <c r="H18" s="507">
        <f>'FOFIR  INCREMENTO'!I21+'FOFIR ESTIMACIONES'!I21</f>
        <v>103269.66438175822</v>
      </c>
      <c r="I18" s="507">
        <f>'FOFIR  INCREMENTO'!J21+'FOFIR ESTIMACIONES'!J21</f>
        <v>75324.770375307868</v>
      </c>
      <c r="J18" s="507">
        <f>'FOFIR  INCREMENTO'!K21+'FOFIR ESTIMACIONES'!K21</f>
        <v>75324.770375307868</v>
      </c>
      <c r="K18" s="507">
        <f>'FOFIR  INCREMENTO'!L21+'FOFIR ESTIMACIONES'!L21</f>
        <v>106919.36629367535</v>
      </c>
      <c r="L18" s="507">
        <f>'FOFIR  INCREMENTO'!M21+'FOFIR ESTIMACIONES'!M21</f>
        <v>75324.770375307882</v>
      </c>
      <c r="M18" s="507">
        <f>'FOFIR  INCREMENTO'!N21+'FOFIR ESTIMACIONES'!N21</f>
        <v>75324.770375307882</v>
      </c>
      <c r="N18" s="508">
        <f t="shared" si="0"/>
        <v>1034699.1184504107</v>
      </c>
      <c r="P18" s="509"/>
    </row>
    <row r="19" spans="1:16" x14ac:dyDescent="0.2">
      <c r="A19" s="505" t="s">
        <v>263</v>
      </c>
      <c r="B19" s="507">
        <f>'FOFIR  INCREMENTO'!C22+'FOFIR ESTIMACIONES'!C22</f>
        <v>482717.9727682785</v>
      </c>
      <c r="C19" s="507">
        <f>'FOFIR  INCREMENTO'!D22+'FOFIR ESTIMACIONES'!D22</f>
        <v>298028.47515779478</v>
      </c>
      <c r="D19" s="507">
        <f>'FOFIR  INCREMENTO'!E22+'FOFIR ESTIMACIONES'!E22</f>
        <v>298028.47515779478</v>
      </c>
      <c r="E19" s="507">
        <f>'FOFIR  INCREMENTO'!F22+'FOFIR ESTIMACIONES'!F22</f>
        <v>595921.20896719128</v>
      </c>
      <c r="F19" s="507">
        <f>'FOFIR  INCREMENTO'!G22+'FOFIR ESTIMACIONES'!G22</f>
        <v>298028.47515779478</v>
      </c>
      <c r="G19" s="507">
        <f>'FOFIR  INCREMENTO'!H22+'FOFIR ESTIMACIONES'!H22</f>
        <v>298028.47515779478</v>
      </c>
      <c r="H19" s="507">
        <f>'FOFIR  INCREMENTO'!I22+'FOFIR ESTIMACIONES'!I22</f>
        <v>541913.03357247915</v>
      </c>
      <c r="I19" s="507">
        <f>'FOFIR  INCREMENTO'!J22+'FOFIR ESTIMACIONES'!J22</f>
        <v>298028.47515779478</v>
      </c>
      <c r="J19" s="507">
        <f>'FOFIR  INCREMENTO'!K22+'FOFIR ESTIMACIONES'!K22</f>
        <v>298028.47515779478</v>
      </c>
      <c r="K19" s="507">
        <f>'FOFIR  INCREMENTO'!L22+'FOFIR ESTIMACIONES'!L22</f>
        <v>548766.82274768571</v>
      </c>
      <c r="L19" s="507">
        <f>'FOFIR  INCREMENTO'!M22+'FOFIR ESTIMACIONES'!M22</f>
        <v>298028.47515779489</v>
      </c>
      <c r="M19" s="507">
        <f>'FOFIR  INCREMENTO'!N22+'FOFIR ESTIMACIONES'!N22</f>
        <v>298028.47515779489</v>
      </c>
      <c r="N19" s="508">
        <f t="shared" si="0"/>
        <v>4553546.8393179923</v>
      </c>
      <c r="P19" s="509"/>
    </row>
    <row r="20" spans="1:16" x14ac:dyDescent="0.2">
      <c r="A20" s="505" t="s">
        <v>156</v>
      </c>
      <c r="B20" s="507">
        <f>'FOFIR  INCREMENTO'!C23+'FOFIR ESTIMACIONES'!C23</f>
        <v>176336.49282470834</v>
      </c>
      <c r="C20" s="507">
        <f>'FOFIR  INCREMENTO'!D23+'FOFIR ESTIMACIONES'!D23</f>
        <v>129616.46835336788</v>
      </c>
      <c r="D20" s="507">
        <f>'FOFIR  INCREMENTO'!E23+'FOFIR ESTIMACIONES'!E23</f>
        <v>129616.46835336788</v>
      </c>
      <c r="E20" s="507">
        <f>'FOFIR  INCREMENTO'!F23+'FOFIR ESTIMACIONES'!F23</f>
        <v>210291.15636939558</v>
      </c>
      <c r="F20" s="507">
        <f>'FOFIR  INCREMENTO'!G23+'FOFIR ESTIMACIONES'!G23</f>
        <v>129616.46835336788</v>
      </c>
      <c r="G20" s="507">
        <f>'FOFIR  INCREMENTO'!H23+'FOFIR ESTIMACIONES'!H23</f>
        <v>129616.46835336788</v>
      </c>
      <c r="H20" s="507">
        <f>'FOFIR  INCREMENTO'!I23+'FOFIR ESTIMACIONES'!I23</f>
        <v>180871.97566385637</v>
      </c>
      <c r="I20" s="507">
        <f>'FOFIR  INCREMENTO'!J23+'FOFIR ESTIMACIONES'!J23</f>
        <v>129616.46835336789</v>
      </c>
      <c r="J20" s="507">
        <f>'FOFIR  INCREMENTO'!K23+'FOFIR ESTIMACIONES'!K23</f>
        <v>129616.46835336789</v>
      </c>
      <c r="K20" s="507">
        <f>'FOFIR  INCREMENTO'!L23+'FOFIR ESTIMACIONES'!L23</f>
        <v>186971.94313347165</v>
      </c>
      <c r="L20" s="507">
        <f>'FOFIR  INCREMENTO'!M23+'FOFIR ESTIMACIONES'!M23</f>
        <v>129616.46835336792</v>
      </c>
      <c r="M20" s="507">
        <f>'FOFIR  INCREMENTO'!N23+'FOFIR ESTIMACIONES'!N23</f>
        <v>129616.46835336792</v>
      </c>
      <c r="N20" s="508">
        <f t="shared" si="0"/>
        <v>1791403.3148183748</v>
      </c>
      <c r="P20" s="509"/>
    </row>
    <row r="21" spans="1:16" x14ac:dyDescent="0.2">
      <c r="A21" s="505" t="s">
        <v>157</v>
      </c>
      <c r="B21" s="507">
        <f>'FOFIR  INCREMENTO'!C24+'FOFIR ESTIMACIONES'!C24</f>
        <v>7449938.6627473021</v>
      </c>
      <c r="C21" s="507">
        <f>'FOFIR  INCREMENTO'!D24+'FOFIR ESTIMACIONES'!D24</f>
        <v>1481199.3053908101</v>
      </c>
      <c r="D21" s="507">
        <f>'FOFIR  INCREMENTO'!E24+'FOFIR ESTIMACIONES'!E24</f>
        <v>1481199.3053908101</v>
      </c>
      <c r="E21" s="507">
        <f>'FOFIR  INCREMENTO'!F24+'FOFIR ESTIMACIONES'!F24</f>
        <v>10309056.494953034</v>
      </c>
      <c r="F21" s="507">
        <f>'FOFIR  INCREMENTO'!G24+'FOFIR ESTIMACIONES'!G24</f>
        <v>1481199.3053908101</v>
      </c>
      <c r="G21" s="507">
        <f>'FOFIR  INCREMENTO'!H24+'FOFIR ESTIMACIONES'!H24</f>
        <v>1481199.3053908101</v>
      </c>
      <c r="H21" s="507">
        <f>'FOFIR  INCREMENTO'!I24+'FOFIR ESTIMACIONES'!I24</f>
        <v>10931994.610419977</v>
      </c>
      <c r="I21" s="507">
        <f>'FOFIR  INCREMENTO'!J24+'FOFIR ESTIMACIONES'!J24</f>
        <v>1481199.3053908097</v>
      </c>
      <c r="J21" s="507">
        <f>'FOFIR  INCREMENTO'!K24+'FOFIR ESTIMACIONES'!K24</f>
        <v>1481199.3053908097</v>
      </c>
      <c r="K21" s="507">
        <f>'FOFIR  INCREMENTO'!L24+'FOFIR ESTIMACIONES'!L24</f>
        <v>10497231.023472298</v>
      </c>
      <c r="L21" s="507">
        <f>'FOFIR  INCREMENTO'!M24+'FOFIR ESTIMACIONES'!M24</f>
        <v>1481199.3053908099</v>
      </c>
      <c r="M21" s="507">
        <f>'FOFIR  INCREMENTO'!N24+'FOFIR ESTIMACIONES'!N24</f>
        <v>1481199.3053908099</v>
      </c>
      <c r="N21" s="508">
        <f t="shared" si="0"/>
        <v>51037815.234719098</v>
      </c>
      <c r="P21" s="509"/>
    </row>
    <row r="22" spans="1:16" x14ac:dyDescent="0.2">
      <c r="A22" s="505" t="s">
        <v>158</v>
      </c>
      <c r="B22" s="507">
        <f>'FOFIR  INCREMENTO'!C25+'FOFIR ESTIMACIONES'!C25</f>
        <v>133248.80419995813</v>
      </c>
      <c r="C22" s="507">
        <f>'FOFIR  INCREMENTO'!D25+'FOFIR ESTIMACIONES'!D25</f>
        <v>99106.149396503417</v>
      </c>
      <c r="D22" s="507">
        <f>'FOFIR  INCREMENTO'!E25+'FOFIR ESTIMACIONES'!E25</f>
        <v>99106.149396503417</v>
      </c>
      <c r="E22" s="507">
        <f>'FOFIR  INCREMENTO'!F25+'FOFIR ESTIMACIONES'!F25</f>
        <v>158492.52547893338</v>
      </c>
      <c r="F22" s="507">
        <f>'FOFIR  INCREMENTO'!G25+'FOFIR ESTIMACIONES'!G25</f>
        <v>99106.149396503417</v>
      </c>
      <c r="G22" s="507">
        <f>'FOFIR  INCREMENTO'!H25+'FOFIR ESTIMACIONES'!H25</f>
        <v>99106.149396503417</v>
      </c>
      <c r="H22" s="507">
        <f>'FOFIR  INCREMENTO'!I25+'FOFIR ESTIMACIONES'!I25</f>
        <v>135719.4718696643</v>
      </c>
      <c r="I22" s="507">
        <f>'FOFIR  INCREMENTO'!J25+'FOFIR ESTIMACIONES'!J25</f>
        <v>99106.149396503431</v>
      </c>
      <c r="J22" s="507">
        <f>'FOFIR  INCREMENTO'!K25+'FOFIR ESTIMACIONES'!K25</f>
        <v>99106.149396503431</v>
      </c>
      <c r="K22" s="507">
        <f>'FOFIR  INCREMENTO'!L25+'FOFIR ESTIMACIONES'!L25</f>
        <v>140530.22913816528</v>
      </c>
      <c r="L22" s="507">
        <f>'FOFIR  INCREMENTO'!M25+'FOFIR ESTIMACIONES'!M25</f>
        <v>99106.149396503461</v>
      </c>
      <c r="M22" s="507">
        <f>'FOFIR  INCREMENTO'!N25+'FOFIR ESTIMACIONES'!N25</f>
        <v>99106.149396503461</v>
      </c>
      <c r="N22" s="508">
        <f t="shared" si="0"/>
        <v>1360840.2258587484</v>
      </c>
      <c r="P22" s="509"/>
    </row>
    <row r="23" spans="1:16" ht="13.5" thickBot="1" x14ac:dyDescent="0.25">
      <c r="A23" s="505" t="s">
        <v>159</v>
      </c>
      <c r="B23" s="507">
        <f>'FOFIR  INCREMENTO'!C26+'FOFIR ESTIMACIONES'!C26</f>
        <v>340697.37188707571</v>
      </c>
      <c r="C23" s="507">
        <f>'FOFIR  INCREMENTO'!D26+'FOFIR ESTIMACIONES'!D26</f>
        <v>156727.48678761939</v>
      </c>
      <c r="D23" s="507">
        <f>'FOFIR  INCREMENTO'!E26+'FOFIR ESTIMACIONES'!E26</f>
        <v>156727.48678761939</v>
      </c>
      <c r="E23" s="507">
        <f>'FOFIR  INCREMENTO'!F26+'FOFIR ESTIMACIONES'!F26</f>
        <v>439715.31953266123</v>
      </c>
      <c r="F23" s="507">
        <f>'FOFIR  INCREMENTO'!G26+'FOFIR ESTIMACIONES'!G26</f>
        <v>156727.48678761939</v>
      </c>
      <c r="G23" s="507">
        <f>'FOFIR  INCREMENTO'!H26+'FOFIR ESTIMACIONES'!H26</f>
        <v>156727.48678761939</v>
      </c>
      <c r="H23" s="507">
        <f>'FOFIR  INCREMENTO'!I26+'FOFIR ESTIMACIONES'!I26</f>
        <v>426639.67187330057</v>
      </c>
      <c r="I23" s="507">
        <f>'FOFIR  INCREMENTO'!J26+'FOFIR ESTIMACIONES'!J26</f>
        <v>156727.48678761936</v>
      </c>
      <c r="J23" s="507">
        <f>'FOFIR  INCREMENTO'!K26+'FOFIR ESTIMACIONES'!K26</f>
        <v>156727.48678761936</v>
      </c>
      <c r="K23" s="507">
        <f>'FOFIR  INCREMENTO'!L26+'FOFIR ESTIMACIONES'!L26</f>
        <v>422182.83149437571</v>
      </c>
      <c r="L23" s="507">
        <f>'FOFIR  INCREMENTO'!M26+'FOFIR ESTIMACIONES'!M26</f>
        <v>156727.48678761942</v>
      </c>
      <c r="M23" s="507">
        <f>'FOFIR  INCREMENTO'!N26+'FOFIR ESTIMACIONES'!N26</f>
        <v>156727.48678761942</v>
      </c>
      <c r="N23" s="508">
        <f t="shared" si="0"/>
        <v>2883055.0890883682</v>
      </c>
      <c r="P23" s="509"/>
    </row>
    <row r="24" spans="1:16" ht="13.5" thickBot="1" x14ac:dyDescent="0.25">
      <c r="A24" s="510" t="s">
        <v>264</v>
      </c>
      <c r="B24" s="512">
        <f t="shared" ref="B24:M24" si="1">SUM(B4:B23)</f>
        <v>14246977.96833887</v>
      </c>
      <c r="C24" s="512">
        <f t="shared" si="1"/>
        <v>3822588.1735208542</v>
      </c>
      <c r="D24" s="512">
        <f t="shared" si="1"/>
        <v>3822588.1735208542</v>
      </c>
      <c r="E24" s="512">
        <f t="shared" si="1"/>
        <v>19361609.838736158</v>
      </c>
      <c r="F24" s="512">
        <f t="shared" si="1"/>
        <v>3822588.1735208542</v>
      </c>
      <c r="G24" s="512">
        <f t="shared" si="1"/>
        <v>3822588.1735208542</v>
      </c>
      <c r="H24" s="512">
        <f t="shared" si="1"/>
        <v>20090504.380000364</v>
      </c>
      <c r="I24" s="512">
        <f t="shared" si="1"/>
        <v>3822588.1735208542</v>
      </c>
      <c r="J24" s="512">
        <f t="shared" si="1"/>
        <v>3822588.1735208542</v>
      </c>
      <c r="K24" s="512">
        <f t="shared" si="1"/>
        <v>19430686.324757777</v>
      </c>
      <c r="L24" s="512">
        <f t="shared" si="1"/>
        <v>3822588.1735208542</v>
      </c>
      <c r="M24" s="512">
        <f t="shared" si="1"/>
        <v>3822588.1735208542</v>
      </c>
      <c r="N24" s="512">
        <f t="shared" si="0"/>
        <v>103710483.89999998</v>
      </c>
    </row>
    <row r="25" spans="1:16" x14ac:dyDescent="0.2">
      <c r="A25" s="514" t="s">
        <v>265</v>
      </c>
    </row>
  </sheetData>
  <mergeCells count="1">
    <mergeCell ref="A1:N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Q26"/>
  <sheetViews>
    <sheetView workbookViewId="0">
      <selection sqref="A1:O1"/>
    </sheetView>
  </sheetViews>
  <sheetFormatPr baseColWidth="10" defaultRowHeight="12.75" x14ac:dyDescent="0.2"/>
  <cols>
    <col min="1" max="1" width="16.5703125" style="500" customWidth="1"/>
    <col min="2" max="2" width="9.28515625" style="500" hidden="1" customWidth="1"/>
    <col min="3" max="3" width="10.42578125" style="500" customWidth="1"/>
    <col min="4" max="4" width="9" style="500" customWidth="1"/>
    <col min="5" max="5" width="9.7109375" style="500" customWidth="1"/>
    <col min="6" max="6" width="9" style="500" customWidth="1"/>
    <col min="7" max="10" width="8.7109375" style="500" bestFit="1" customWidth="1"/>
    <col min="11" max="11" width="10.42578125" style="500" customWidth="1"/>
    <col min="12" max="12" width="9.85546875" style="500" customWidth="1"/>
    <col min="13" max="13" width="9.7109375" style="500" customWidth="1"/>
    <col min="14" max="14" width="9" style="500" customWidth="1"/>
    <col min="15" max="15" width="11.42578125" style="500" bestFit="1" customWidth="1"/>
    <col min="16" max="16" width="12.7109375" style="500" bestFit="1" customWidth="1"/>
    <col min="17" max="16384" width="11.42578125" style="500"/>
  </cols>
  <sheetData>
    <row r="1" spans="1:17" x14ac:dyDescent="0.2">
      <c r="A1" s="1193" t="s">
        <v>489</v>
      </c>
      <c r="B1" s="1193"/>
      <c r="C1" s="1193"/>
      <c r="D1" s="1193"/>
      <c r="E1" s="1193"/>
      <c r="F1" s="1193"/>
      <c r="G1" s="1193"/>
      <c r="H1" s="1193"/>
      <c r="I1" s="1193"/>
      <c r="J1" s="1193"/>
      <c r="K1" s="1193"/>
      <c r="L1" s="1193"/>
      <c r="M1" s="1193"/>
      <c r="N1" s="1193"/>
      <c r="O1" s="1193"/>
    </row>
    <row r="2" spans="1:17" ht="13.5" thickBot="1" x14ac:dyDescent="0.25">
      <c r="O2" s="965" t="s">
        <v>556</v>
      </c>
    </row>
    <row r="3" spans="1:17" ht="28.5" customHeight="1" thickBot="1" x14ac:dyDescent="0.25">
      <c r="A3" s="777" t="s">
        <v>288</v>
      </c>
      <c r="B3" s="781"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7" ht="12.75" customHeight="1" x14ac:dyDescent="0.2">
      <c r="A4" s="505" t="s">
        <v>258</v>
      </c>
      <c r="B4" s="531">
        <f>' CUADRO 11- FOCO'!D9+' CUADRO 11- FOCO'!G9</f>
        <v>3.1012197296055257</v>
      </c>
      <c r="C4" s="507">
        <f>$C$24*B4/100</f>
        <v>228465.66489868291</v>
      </c>
      <c r="D4" s="507">
        <f>$D$24*B4/100</f>
        <v>161110.77886337743</v>
      </c>
      <c r="E4" s="507">
        <f>$E$24*B4/100</f>
        <v>167102.20714753578</v>
      </c>
      <c r="F4" s="507">
        <f>$F$24*B4/100</f>
        <v>156563.47145719241</v>
      </c>
      <c r="G4" s="507">
        <f>$G$24*B4/100</f>
        <v>177756.6920356566</v>
      </c>
      <c r="H4" s="507">
        <f>$H$24*B4/100</f>
        <v>174526.72427155037</v>
      </c>
      <c r="I4" s="507">
        <f>$I$24*B4/100</f>
        <v>178870.09296838881</v>
      </c>
      <c r="J4" s="507">
        <f>$J$24*B4/100</f>
        <v>174647.98392227234</v>
      </c>
      <c r="K4" s="507">
        <f>$K$24*B4/100</f>
        <v>182899.28792179047</v>
      </c>
      <c r="L4" s="507">
        <f>$L$24*B4/100</f>
        <v>182078.01520997414</v>
      </c>
      <c r="M4" s="507">
        <f>$M$24*B4/100</f>
        <v>171836.92190423378</v>
      </c>
      <c r="N4" s="507">
        <f>$N$24*B4/100</f>
        <v>178285.8328158145</v>
      </c>
      <c r="O4" s="508">
        <f>SUM(C4:N4)</f>
        <v>2134143.6734164697</v>
      </c>
      <c r="P4" s="509"/>
      <c r="Q4" s="509"/>
    </row>
    <row r="5" spans="1:17" ht="12.75" customHeight="1" x14ac:dyDescent="0.2">
      <c r="A5" s="505" t="s">
        <v>141</v>
      </c>
      <c r="B5" s="536">
        <f>' CUADRO 11- FOCO'!D10+' CUADRO 11- FOCO'!G10</f>
        <v>3.2708002668738683</v>
      </c>
      <c r="C5" s="507">
        <f t="shared" ref="C5:C23" si="0">$C$24*B5/100</f>
        <v>240958.59786664642</v>
      </c>
      <c r="D5" s="507">
        <f t="shared" ref="D5:D23" si="1">$D$24*B5/100</f>
        <v>169920.61977163449</v>
      </c>
      <c r="E5" s="507">
        <f t="shared" ref="E5:E23" si="2">$E$24*B5/100</f>
        <v>176239.67064174925</v>
      </c>
      <c r="F5" s="507">
        <f t="shared" ref="F5:F23" si="3">$F$24*B5/100</f>
        <v>165124.65702971059</v>
      </c>
      <c r="G5" s="507">
        <f t="shared" ref="G5:G23" si="4">$G$24*B5/100</f>
        <v>187476.7628357622</v>
      </c>
      <c r="H5" s="507">
        <f t="shared" ref="H5:H23" si="5">$H$24*B5/100</f>
        <v>184070.17434930991</v>
      </c>
      <c r="I5" s="507">
        <f t="shared" ref="I5:I23" si="6">$I$24*B5/100</f>
        <v>188651.04662905575</v>
      </c>
      <c r="J5" s="507">
        <f t="shared" ref="J5:J23" si="7">$J$24*B5/100</f>
        <v>184198.06470617701</v>
      </c>
      <c r="K5" s="507">
        <f t="shared" ref="K5:K23" si="8">$K$24*B5/100</f>
        <v>192900.56555319511</v>
      </c>
      <c r="L5" s="507">
        <f t="shared" ref="L5:L23" si="9">$L$24*B5/100</f>
        <v>192034.3841022836</v>
      </c>
      <c r="M5" s="507">
        <f t="shared" ref="M5:M23" si="10">$M$24*B5/100</f>
        <v>181233.28852117283</v>
      </c>
      <c r="N5" s="507">
        <f t="shared" ref="N5:N23" si="11">$N$24*B5/100</f>
        <v>188034.83803063861</v>
      </c>
      <c r="O5" s="508">
        <f t="shared" ref="O5:O23" si="12">SUM(C5:N5)</f>
        <v>2250842.6700373357</v>
      </c>
      <c r="P5" s="509"/>
    </row>
    <row r="6" spans="1:17" ht="12.75" customHeight="1" x14ac:dyDescent="0.2">
      <c r="A6" s="505" t="s">
        <v>142</v>
      </c>
      <c r="B6" s="536">
        <f>' CUADRO 11- FOCO'!D11+' CUADRO 11- FOCO'!G11</f>
        <v>3.8542395726001253</v>
      </c>
      <c r="C6" s="507">
        <f t="shared" si="0"/>
        <v>283940.34715653968</v>
      </c>
      <c r="D6" s="507">
        <f t="shared" si="1"/>
        <v>200230.74583839401</v>
      </c>
      <c r="E6" s="507">
        <f t="shared" si="2"/>
        <v>207676.97732233221</v>
      </c>
      <c r="F6" s="507">
        <f t="shared" si="3"/>
        <v>194579.28812761608</v>
      </c>
      <c r="G6" s="507">
        <f t="shared" si="4"/>
        <v>220918.52125082022</v>
      </c>
      <c r="H6" s="507">
        <f t="shared" si="5"/>
        <v>216904.2718070297</v>
      </c>
      <c r="I6" s="507">
        <f t="shared" si="6"/>
        <v>222302.27161656812</v>
      </c>
      <c r="J6" s="507">
        <f t="shared" si="7"/>
        <v>217054.97500935706</v>
      </c>
      <c r="K6" s="507">
        <f t="shared" si="8"/>
        <v>227309.81187141384</v>
      </c>
      <c r="L6" s="507">
        <f t="shared" si="9"/>
        <v>226289.12257437332</v>
      </c>
      <c r="M6" s="507">
        <f t="shared" si="10"/>
        <v>213561.34752868331</v>
      </c>
      <c r="N6" s="507">
        <f t="shared" si="11"/>
        <v>221576.1448673901</v>
      </c>
      <c r="O6" s="508">
        <f t="shared" si="12"/>
        <v>2652343.8249705173</v>
      </c>
      <c r="P6" s="509"/>
    </row>
    <row r="7" spans="1:17" ht="12.75" customHeight="1" x14ac:dyDescent="0.2">
      <c r="A7" s="312" t="s">
        <v>349</v>
      </c>
      <c r="B7" s="536">
        <f>' CUADRO 11- FOCO'!D12+' CUADRO 11- FOCO'!G12</f>
        <v>10.827867411712226</v>
      </c>
      <c r="C7" s="507">
        <f t="shared" si="0"/>
        <v>797684.82833890675</v>
      </c>
      <c r="D7" s="507">
        <f t="shared" si="1"/>
        <v>562516.14017438155</v>
      </c>
      <c r="E7" s="507">
        <f t="shared" si="2"/>
        <v>583435.13228846213</v>
      </c>
      <c r="F7" s="507">
        <f t="shared" si="3"/>
        <v>546639.27688590658</v>
      </c>
      <c r="G7" s="507">
        <f t="shared" si="4"/>
        <v>620635.12447454897</v>
      </c>
      <c r="H7" s="507">
        <f t="shared" si="5"/>
        <v>609357.73501388798</v>
      </c>
      <c r="I7" s="507">
        <f t="shared" si="6"/>
        <v>624522.54901290452</v>
      </c>
      <c r="J7" s="507">
        <f t="shared" si="7"/>
        <v>609781.11147053633</v>
      </c>
      <c r="K7" s="507">
        <f t="shared" si="8"/>
        <v>638590.42956805718</v>
      </c>
      <c r="L7" s="507">
        <f t="shared" si="9"/>
        <v>635722.96682508802</v>
      </c>
      <c r="M7" s="507">
        <f t="shared" si="10"/>
        <v>599966.32584704435</v>
      </c>
      <c r="N7" s="507">
        <f t="shared" si="11"/>
        <v>622482.6124661233</v>
      </c>
      <c r="O7" s="508">
        <f t="shared" si="12"/>
        <v>7451334.2323658485</v>
      </c>
      <c r="P7" s="509"/>
    </row>
    <row r="8" spans="1:17" ht="12.75" customHeight="1" x14ac:dyDescent="0.2">
      <c r="A8" s="505" t="s">
        <v>144</v>
      </c>
      <c r="B8" s="536">
        <f>' CUADRO 11- FOCO'!D13+' CUADRO 11- FOCO'!G13</f>
        <v>4.8642760218984451</v>
      </c>
      <c r="C8" s="507">
        <f t="shared" si="0"/>
        <v>358349.34396444983</v>
      </c>
      <c r="D8" s="507">
        <f t="shared" si="1"/>
        <v>252702.92556606248</v>
      </c>
      <c r="E8" s="507">
        <f t="shared" si="2"/>
        <v>262100.50570568803</v>
      </c>
      <c r="F8" s="507">
        <f t="shared" si="3"/>
        <v>245570.45501941067</v>
      </c>
      <c r="G8" s="507">
        <f t="shared" si="4"/>
        <v>278812.10948926053</v>
      </c>
      <c r="H8" s="507">
        <f t="shared" si="5"/>
        <v>273745.89164069633</v>
      </c>
      <c r="I8" s="507">
        <f t="shared" si="6"/>
        <v>280558.48347500112</v>
      </c>
      <c r="J8" s="507">
        <f t="shared" si="7"/>
        <v>273936.08790631394</v>
      </c>
      <c r="K8" s="507">
        <f t="shared" si="8"/>
        <v>286878.29248830152</v>
      </c>
      <c r="L8" s="507">
        <f t="shared" si="9"/>
        <v>285590.12282996002</v>
      </c>
      <c r="M8" s="507">
        <f t="shared" si="10"/>
        <v>269526.9254597195</v>
      </c>
      <c r="N8" s="507">
        <f t="shared" si="11"/>
        <v>279642.06899988768</v>
      </c>
      <c r="O8" s="508">
        <f t="shared" si="12"/>
        <v>3347413.2125447514</v>
      </c>
      <c r="P8" s="509"/>
    </row>
    <row r="9" spans="1:17" ht="12.75" customHeight="1" x14ac:dyDescent="0.2">
      <c r="A9" s="505" t="s">
        <v>260</v>
      </c>
      <c r="B9" s="536">
        <f>' CUADRO 11- FOCO'!D14+' CUADRO 11- FOCO'!G14</f>
        <v>3.4706419063749485</v>
      </c>
      <c r="C9" s="507">
        <f t="shared" si="0"/>
        <v>255680.85459911753</v>
      </c>
      <c r="D9" s="507">
        <f t="shared" si="1"/>
        <v>180302.5484953527</v>
      </c>
      <c r="E9" s="507">
        <f t="shared" si="2"/>
        <v>187007.68514966045</v>
      </c>
      <c r="F9" s="507">
        <f t="shared" si="3"/>
        <v>175213.55867163508</v>
      </c>
      <c r="G9" s="507">
        <f t="shared" si="4"/>
        <v>198931.34905213866</v>
      </c>
      <c r="H9" s="507">
        <f t="shared" si="5"/>
        <v>195316.62244269159</v>
      </c>
      <c r="I9" s="507">
        <f t="shared" si="6"/>
        <v>200177.38005692296</v>
      </c>
      <c r="J9" s="507">
        <f t="shared" si="7"/>
        <v>195452.32673391944</v>
      </c>
      <c r="K9" s="507">
        <f t="shared" si="8"/>
        <v>204686.53905676238</v>
      </c>
      <c r="L9" s="507">
        <f t="shared" si="9"/>
        <v>203767.43504649782</v>
      </c>
      <c r="M9" s="507">
        <f t="shared" si="10"/>
        <v>192306.40658253935</v>
      </c>
      <c r="N9" s="507">
        <f t="shared" si="11"/>
        <v>199523.52191511134</v>
      </c>
      <c r="O9" s="508">
        <f t="shared" si="12"/>
        <v>2388366.2278023493</v>
      </c>
      <c r="P9" s="509"/>
    </row>
    <row r="10" spans="1:17" ht="12.75" customHeight="1" x14ac:dyDescent="0.2">
      <c r="A10" s="505" t="s">
        <v>146</v>
      </c>
      <c r="B10" s="536">
        <f>' CUADRO 11- FOCO'!D15+' CUADRO 11- FOCO'!G15</f>
        <v>3.7119397222843022</v>
      </c>
      <c r="C10" s="507">
        <f t="shared" si="0"/>
        <v>273457.17190551583</v>
      </c>
      <c r="D10" s="507">
        <f t="shared" si="1"/>
        <v>192838.15785191156</v>
      </c>
      <c r="E10" s="507">
        <f t="shared" si="2"/>
        <v>200009.47190904676</v>
      </c>
      <c r="F10" s="507">
        <f t="shared" si="3"/>
        <v>187395.35390309148</v>
      </c>
      <c r="G10" s="507">
        <f t="shared" si="4"/>
        <v>212762.13348253808</v>
      </c>
      <c r="H10" s="507">
        <f t="shared" si="5"/>
        <v>208896.09150852778</v>
      </c>
      <c r="I10" s="507">
        <f t="shared" si="6"/>
        <v>214094.79530897454</v>
      </c>
      <c r="J10" s="507">
        <f t="shared" si="7"/>
        <v>209041.23069680532</v>
      </c>
      <c r="K10" s="507">
        <f t="shared" si="8"/>
        <v>218917.45545574895</v>
      </c>
      <c r="L10" s="507">
        <f t="shared" si="9"/>
        <v>217934.45035852323</v>
      </c>
      <c r="M10" s="507">
        <f t="shared" si="10"/>
        <v>205676.58914401557</v>
      </c>
      <c r="N10" s="507">
        <f t="shared" si="11"/>
        <v>213395.4774090577</v>
      </c>
      <c r="O10" s="508">
        <f t="shared" si="12"/>
        <v>2554418.3789337571</v>
      </c>
      <c r="P10" s="509"/>
    </row>
    <row r="11" spans="1:17" ht="12.75" customHeight="1" x14ac:dyDescent="0.2">
      <c r="A11" s="505" t="s">
        <v>147</v>
      </c>
      <c r="B11" s="536">
        <f>' CUADRO 11- FOCO'!D16+' CUADRO 11- FOCO'!G16</f>
        <v>2.9202501067459696</v>
      </c>
      <c r="C11" s="507">
        <f t="shared" si="0"/>
        <v>215133.7023749144</v>
      </c>
      <c r="D11" s="507">
        <f t="shared" si="1"/>
        <v>151709.26609368296</v>
      </c>
      <c r="E11" s="507">
        <f t="shared" si="2"/>
        <v>157351.0685494541</v>
      </c>
      <c r="F11" s="507">
        <f t="shared" si="3"/>
        <v>147427.31379873623</v>
      </c>
      <c r="G11" s="507">
        <f t="shared" si="4"/>
        <v>167383.81803019333</v>
      </c>
      <c r="H11" s="507">
        <f t="shared" si="5"/>
        <v>164342.33289520835</v>
      </c>
      <c r="I11" s="507">
        <f t="shared" si="6"/>
        <v>168432.24718908939</v>
      </c>
      <c r="J11" s="507">
        <f t="shared" si="7"/>
        <v>164456.51651934319</v>
      </c>
      <c r="K11" s="507">
        <f t="shared" si="8"/>
        <v>172226.32114020162</v>
      </c>
      <c r="L11" s="507">
        <f t="shared" si="9"/>
        <v>171452.97325341566</v>
      </c>
      <c r="M11" s="507">
        <f t="shared" si="10"/>
        <v>161809.49216312612</v>
      </c>
      <c r="N11" s="507">
        <f t="shared" si="11"/>
        <v>167882.08115066439</v>
      </c>
      <c r="O11" s="508">
        <f t="shared" si="12"/>
        <v>2009607.1331580298</v>
      </c>
      <c r="P11" s="509"/>
    </row>
    <row r="12" spans="1:17" ht="12.75" customHeight="1" x14ac:dyDescent="0.2">
      <c r="A12" s="505" t="s">
        <v>148</v>
      </c>
      <c r="B12" s="536">
        <f>' CUADRO 11- FOCO'!D17+' CUADRO 11- FOCO'!G17</f>
        <v>3.0057082759150693</v>
      </c>
      <c r="C12" s="507">
        <f t="shared" si="0"/>
        <v>221429.37283446162</v>
      </c>
      <c r="D12" s="507">
        <f t="shared" si="1"/>
        <v>156148.88450047775</v>
      </c>
      <c r="E12" s="507">
        <f t="shared" si="2"/>
        <v>161955.78860544332</v>
      </c>
      <c r="F12" s="507">
        <f t="shared" si="3"/>
        <v>151741.6251974942</v>
      </c>
      <c r="G12" s="507">
        <f t="shared" si="4"/>
        <v>172282.13636407512</v>
      </c>
      <c r="H12" s="507">
        <f t="shared" si="5"/>
        <v>169151.64523929823</v>
      </c>
      <c r="I12" s="507">
        <f t="shared" si="6"/>
        <v>173361.24674312279</v>
      </c>
      <c r="J12" s="507">
        <f t="shared" si="7"/>
        <v>169269.17033183851</v>
      </c>
      <c r="K12" s="507">
        <f t="shared" si="8"/>
        <v>177266.3504354223</v>
      </c>
      <c r="L12" s="507">
        <f t="shared" si="9"/>
        <v>176470.37130401016</v>
      </c>
      <c r="M12" s="507">
        <f t="shared" si="10"/>
        <v>166544.68348201321</v>
      </c>
      <c r="N12" s="507">
        <f t="shared" si="11"/>
        <v>172794.98065139269</v>
      </c>
      <c r="O12" s="508">
        <f t="shared" si="12"/>
        <v>2068416.2556890496</v>
      </c>
      <c r="P12" s="509"/>
    </row>
    <row r="13" spans="1:17" ht="12.75" customHeight="1" x14ac:dyDescent="0.2">
      <c r="A13" s="505" t="s">
        <v>149</v>
      </c>
      <c r="B13" s="536">
        <f>' CUADRO 11- FOCO'!D18+' CUADRO 11- FOCO'!G18</f>
        <v>3.4686366380201896</v>
      </c>
      <c r="C13" s="507">
        <f t="shared" si="0"/>
        <v>255533.12725055311</v>
      </c>
      <c r="D13" s="507">
        <f t="shared" si="1"/>
        <v>180198.37324347324</v>
      </c>
      <c r="E13" s="507">
        <f t="shared" si="2"/>
        <v>186899.63580223609</v>
      </c>
      <c r="F13" s="507">
        <f t="shared" si="3"/>
        <v>175112.32373757765</v>
      </c>
      <c r="G13" s="507">
        <f t="shared" si="4"/>
        <v>198816.41044718176</v>
      </c>
      <c r="H13" s="507">
        <f t="shared" si="5"/>
        <v>195203.77235538547</v>
      </c>
      <c r="I13" s="507">
        <f t="shared" si="6"/>
        <v>200061.72151985829</v>
      </c>
      <c r="J13" s="507">
        <f t="shared" si="7"/>
        <v>195339.39823935379</v>
      </c>
      <c r="K13" s="507">
        <f t="shared" si="8"/>
        <v>204568.2752166751</v>
      </c>
      <c r="L13" s="507">
        <f t="shared" si="9"/>
        <v>203649.70224655711</v>
      </c>
      <c r="M13" s="507">
        <f t="shared" si="10"/>
        <v>192195.29573851105</v>
      </c>
      <c r="N13" s="507">
        <f t="shared" si="11"/>
        <v>199408.24116436849</v>
      </c>
      <c r="O13" s="508">
        <f t="shared" si="12"/>
        <v>2386986.2769617317</v>
      </c>
      <c r="P13" s="509"/>
    </row>
    <row r="14" spans="1:17" ht="12.75" customHeight="1" x14ac:dyDescent="0.2">
      <c r="A14" s="505" t="s">
        <v>150</v>
      </c>
      <c r="B14" s="536">
        <f>' CUADRO 11- FOCO'!D19+' CUADRO 11- FOCO'!G19</f>
        <v>3.0018401196972491</v>
      </c>
      <c r="C14" s="507">
        <f t="shared" si="0"/>
        <v>221144.40725340339</v>
      </c>
      <c r="D14" s="507">
        <f t="shared" si="1"/>
        <v>155947.93077408784</v>
      </c>
      <c r="E14" s="507">
        <f t="shared" si="2"/>
        <v>161747.3617611863</v>
      </c>
      <c r="F14" s="507">
        <f t="shared" si="3"/>
        <v>151546.34333474218</v>
      </c>
      <c r="G14" s="507">
        <f t="shared" si="4"/>
        <v>172060.42016415778</v>
      </c>
      <c r="H14" s="507">
        <f t="shared" si="5"/>
        <v>168933.95778322342</v>
      </c>
      <c r="I14" s="507">
        <f t="shared" si="6"/>
        <v>173138.1417964811</v>
      </c>
      <c r="J14" s="507">
        <f t="shared" si="7"/>
        <v>169051.33162841178</v>
      </c>
      <c r="K14" s="507">
        <f t="shared" si="8"/>
        <v>177038.21986761517</v>
      </c>
      <c r="L14" s="507">
        <f t="shared" si="9"/>
        <v>176243.26511094064</v>
      </c>
      <c r="M14" s="507">
        <f t="shared" si="10"/>
        <v>166330.35102063694</v>
      </c>
      <c r="N14" s="507">
        <f t="shared" si="11"/>
        <v>172572.60445335286</v>
      </c>
      <c r="O14" s="508">
        <f t="shared" si="12"/>
        <v>2065754.3349482394</v>
      </c>
      <c r="P14" s="509"/>
    </row>
    <row r="15" spans="1:17" ht="12.75" customHeight="1" x14ac:dyDescent="0.2">
      <c r="A15" s="505" t="s">
        <v>151</v>
      </c>
      <c r="B15" s="536">
        <f>' CUADRO 11- FOCO'!D20+' CUADRO 11- FOCO'!G20</f>
        <v>2.8975625351725398</v>
      </c>
      <c r="C15" s="507">
        <f t="shared" si="0"/>
        <v>213462.31770165893</v>
      </c>
      <c r="D15" s="507">
        <f t="shared" si="1"/>
        <v>150530.62909101599</v>
      </c>
      <c r="E15" s="507">
        <f t="shared" si="2"/>
        <v>156128.60009662376</v>
      </c>
      <c r="F15" s="507">
        <f t="shared" si="3"/>
        <v>146281.9435011851</v>
      </c>
      <c r="G15" s="507">
        <f t="shared" si="4"/>
        <v>166083.40463648387</v>
      </c>
      <c r="H15" s="507">
        <f t="shared" si="5"/>
        <v>163065.54895417148</v>
      </c>
      <c r="I15" s="507">
        <f t="shared" si="6"/>
        <v>167123.68849593206</v>
      </c>
      <c r="J15" s="507">
        <f t="shared" si="7"/>
        <v>163178.8454799242</v>
      </c>
      <c r="K15" s="507">
        <f t="shared" si="8"/>
        <v>170888.2860935902</v>
      </c>
      <c r="L15" s="507">
        <f t="shared" si="9"/>
        <v>170120.94638586129</v>
      </c>
      <c r="M15" s="507">
        <f t="shared" si="10"/>
        <v>160552.38599053124</v>
      </c>
      <c r="N15" s="507">
        <f t="shared" si="11"/>
        <v>166577.79672543542</v>
      </c>
      <c r="O15" s="508">
        <f t="shared" si="12"/>
        <v>1993994.3931524137</v>
      </c>
      <c r="P15" s="509"/>
    </row>
    <row r="16" spans="1:17" ht="12.75" customHeight="1" x14ac:dyDescent="0.2">
      <c r="A16" s="505" t="s">
        <v>152</v>
      </c>
      <c r="B16" s="536">
        <f>' CUADRO 11- FOCO'!D21+' CUADRO 11- FOCO'!G21</f>
        <v>3.241687505378259</v>
      </c>
      <c r="C16" s="507">
        <f t="shared" si="0"/>
        <v>238813.87192264595</v>
      </c>
      <c r="D16" s="507">
        <f t="shared" si="1"/>
        <v>168408.18915130626</v>
      </c>
      <c r="E16" s="507">
        <f t="shared" si="2"/>
        <v>174670.99537000549</v>
      </c>
      <c r="F16" s="507">
        <f t="shared" si="3"/>
        <v>163654.91434751835</v>
      </c>
      <c r="G16" s="507">
        <f t="shared" si="4"/>
        <v>185808.0683765854</v>
      </c>
      <c r="H16" s="507">
        <f t="shared" si="5"/>
        <v>182431.80127634681</v>
      </c>
      <c r="I16" s="507">
        <f t="shared" si="6"/>
        <v>186971.90009662072</v>
      </c>
      <c r="J16" s="507">
        <f t="shared" si="7"/>
        <v>182558.55330584652</v>
      </c>
      <c r="K16" s="507">
        <f t="shared" si="8"/>
        <v>191183.59487351318</v>
      </c>
      <c r="L16" s="507">
        <f t="shared" si="9"/>
        <v>190325.1231364132</v>
      </c>
      <c r="M16" s="507">
        <f t="shared" si="10"/>
        <v>179620.16602108671</v>
      </c>
      <c r="N16" s="507">
        <f t="shared" si="11"/>
        <v>186361.17625193161</v>
      </c>
      <c r="O16" s="508">
        <f t="shared" si="12"/>
        <v>2230808.3541298201</v>
      </c>
      <c r="P16" s="509"/>
    </row>
    <row r="17" spans="1:16" ht="12.75" customHeight="1" x14ac:dyDescent="0.2">
      <c r="A17" s="505" t="s">
        <v>261</v>
      </c>
      <c r="B17" s="536">
        <f>' CUADRO 11- FOCO'!D22+' CUADRO 11- FOCO'!G22</f>
        <v>5.2410315169123853</v>
      </c>
      <c r="C17" s="507">
        <f t="shared" si="0"/>
        <v>386104.77639991319</v>
      </c>
      <c r="D17" s="507">
        <f t="shared" si="1"/>
        <v>272275.66678890842</v>
      </c>
      <c r="E17" s="507">
        <f t="shared" si="2"/>
        <v>282401.12296630372</v>
      </c>
      <c r="F17" s="507">
        <f t="shared" si="3"/>
        <v>264590.76100639033</v>
      </c>
      <c r="G17" s="507">
        <f t="shared" si="4"/>
        <v>300407.09995723778</v>
      </c>
      <c r="H17" s="507">
        <f t="shared" si="5"/>
        <v>294948.48550025921</v>
      </c>
      <c r="I17" s="507">
        <f t="shared" si="6"/>
        <v>302288.73682537139</v>
      </c>
      <c r="J17" s="507">
        <f t="shared" si="7"/>
        <v>295153.41314375919</v>
      </c>
      <c r="K17" s="507">
        <f t="shared" si="8"/>
        <v>309098.03754565562</v>
      </c>
      <c r="L17" s="507">
        <f t="shared" si="9"/>
        <v>307710.0945613134</v>
      </c>
      <c r="M17" s="507">
        <f t="shared" si="10"/>
        <v>290402.74536879006</v>
      </c>
      <c r="N17" s="507">
        <f t="shared" si="11"/>
        <v>301301.34278666927</v>
      </c>
      <c r="O17" s="508">
        <f t="shared" si="12"/>
        <v>3606682.2828505705</v>
      </c>
      <c r="P17" s="509"/>
    </row>
    <row r="18" spans="1:16" ht="12.75" customHeight="1" x14ac:dyDescent="0.2">
      <c r="A18" s="505" t="s">
        <v>262</v>
      </c>
      <c r="B18" s="536">
        <f>' CUADRO 11- FOCO'!D23+' CUADRO 11- FOCO'!G23</f>
        <v>2.8936083217094719</v>
      </c>
      <c r="C18" s="507">
        <f t="shared" si="0"/>
        <v>213171.01231643686</v>
      </c>
      <c r="D18" s="507">
        <f t="shared" si="1"/>
        <v>150325.20462375067</v>
      </c>
      <c r="E18" s="507">
        <f t="shared" si="2"/>
        <v>155915.53625245194</v>
      </c>
      <c r="F18" s="507">
        <f t="shared" si="3"/>
        <v>146082.31708298885</v>
      </c>
      <c r="G18" s="507">
        <f t="shared" si="4"/>
        <v>165856.75578020074</v>
      </c>
      <c r="H18" s="507">
        <f t="shared" si="5"/>
        <v>162843.01847166757</v>
      </c>
      <c r="I18" s="507">
        <f t="shared" si="6"/>
        <v>166895.61999662395</v>
      </c>
      <c r="J18" s="507">
        <f t="shared" si="7"/>
        <v>162956.1603851757</v>
      </c>
      <c r="K18" s="507">
        <f t="shared" si="8"/>
        <v>170655.08016503838</v>
      </c>
      <c r="L18" s="507">
        <f t="shared" si="9"/>
        <v>169888.78762194049</v>
      </c>
      <c r="M18" s="507">
        <f t="shared" si="10"/>
        <v>160333.28514335191</v>
      </c>
      <c r="N18" s="507">
        <f t="shared" si="11"/>
        <v>166350.47318764654</v>
      </c>
      <c r="O18" s="508">
        <f t="shared" si="12"/>
        <v>1991273.2510272735</v>
      </c>
      <c r="P18" s="509"/>
    </row>
    <row r="19" spans="1:16" ht="12.75" customHeight="1" x14ac:dyDescent="0.2">
      <c r="A19" s="505" t="s">
        <v>263</v>
      </c>
      <c r="B19" s="536">
        <f>' CUADRO 11- FOCO'!D24+' CUADRO 11- FOCO'!G24</f>
        <v>5.7177624010736645</v>
      </c>
      <c r="C19" s="507">
        <f t="shared" si="0"/>
        <v>421225.35730808956</v>
      </c>
      <c r="D19" s="507">
        <f t="shared" si="1"/>
        <v>297042.2072962526</v>
      </c>
      <c r="E19" s="507">
        <f t="shared" si="2"/>
        <v>308088.68782933231</v>
      </c>
      <c r="F19" s="507">
        <f t="shared" si="3"/>
        <v>288658.27272205992</v>
      </c>
      <c r="G19" s="507">
        <f t="shared" si="4"/>
        <v>327732.51135932573</v>
      </c>
      <c r="H19" s="507">
        <f t="shared" si="5"/>
        <v>321777.37439757423</v>
      </c>
      <c r="I19" s="507">
        <f t="shared" si="6"/>
        <v>329785.3043071205</v>
      </c>
      <c r="J19" s="507">
        <f t="shared" si="7"/>
        <v>322000.94251983485</v>
      </c>
      <c r="K19" s="507">
        <f t="shared" si="8"/>
        <v>337213.98767038749</v>
      </c>
      <c r="L19" s="507">
        <f t="shared" si="9"/>
        <v>335699.7956291649</v>
      </c>
      <c r="M19" s="507">
        <f t="shared" si="10"/>
        <v>316818.14796955261</v>
      </c>
      <c r="N19" s="507">
        <f t="shared" si="11"/>
        <v>328708.09565242782</v>
      </c>
      <c r="O19" s="508">
        <f t="shared" si="12"/>
        <v>3934750.684661123</v>
      </c>
      <c r="P19" s="509"/>
    </row>
    <row r="20" spans="1:16" ht="12.75" customHeight="1" x14ac:dyDescent="0.2">
      <c r="A20" s="505" t="s">
        <v>156</v>
      </c>
      <c r="B20" s="536">
        <f>' CUADRO 11- FOCO'!D25+' CUADRO 11- FOCO'!G25</f>
        <v>3.0983141490256898</v>
      </c>
      <c r="C20" s="507">
        <f t="shared" si="0"/>
        <v>228251.61189471427</v>
      </c>
      <c r="D20" s="507">
        <f t="shared" si="1"/>
        <v>160959.83169062511</v>
      </c>
      <c r="E20" s="507">
        <f t="shared" si="2"/>
        <v>166945.64651324711</v>
      </c>
      <c r="F20" s="507">
        <f t="shared" si="3"/>
        <v>156416.78472686018</v>
      </c>
      <c r="G20" s="507">
        <f t="shared" si="4"/>
        <v>177590.1490502035</v>
      </c>
      <c r="H20" s="507">
        <f t="shared" si="5"/>
        <v>174363.20749269563</v>
      </c>
      <c r="I20" s="507">
        <f t="shared" si="6"/>
        <v>178702.50682043514</v>
      </c>
      <c r="J20" s="507">
        <f t="shared" si="7"/>
        <v>174484.35353338125</v>
      </c>
      <c r="K20" s="507">
        <f t="shared" si="8"/>
        <v>182727.92675896213</v>
      </c>
      <c r="L20" s="507">
        <f t="shared" si="9"/>
        <v>181907.42351021201</v>
      </c>
      <c r="M20" s="507">
        <f t="shared" si="10"/>
        <v>171675.92524268886</v>
      </c>
      <c r="N20" s="507">
        <f t="shared" si="11"/>
        <v>178118.79407020606</v>
      </c>
      <c r="O20" s="508">
        <f t="shared" si="12"/>
        <v>2132144.1613042313</v>
      </c>
      <c r="P20" s="509"/>
    </row>
    <row r="21" spans="1:16" ht="12.75" customHeight="1" x14ac:dyDescent="0.2">
      <c r="A21" s="505" t="s">
        <v>157</v>
      </c>
      <c r="B21" s="536">
        <f>' CUADRO 11- FOCO'!D26+' CUADRO 11- FOCO'!G26</f>
        <v>24.219218437611406</v>
      </c>
      <c r="C21" s="507">
        <f t="shared" si="0"/>
        <v>1784220.5087413008</v>
      </c>
      <c r="D21" s="507">
        <f t="shared" si="1"/>
        <v>1258207.2494560631</v>
      </c>
      <c r="E21" s="507">
        <f t="shared" si="2"/>
        <v>1304997.7780284365</v>
      </c>
      <c r="F21" s="507">
        <f t="shared" si="3"/>
        <v>1222694.6960171713</v>
      </c>
      <c r="G21" s="507">
        <f t="shared" si="4"/>
        <v>1388204.8124678989</v>
      </c>
      <c r="H21" s="507">
        <f t="shared" si="5"/>
        <v>1362980.1261683302</v>
      </c>
      <c r="I21" s="507">
        <f t="shared" si="6"/>
        <v>1396900.0042793837</v>
      </c>
      <c r="J21" s="507">
        <f t="shared" si="7"/>
        <v>1363927.112910504</v>
      </c>
      <c r="K21" s="507">
        <f t="shared" si="8"/>
        <v>1428366.3179277137</v>
      </c>
      <c r="L21" s="507">
        <f t="shared" si="9"/>
        <v>1421952.5243437099</v>
      </c>
      <c r="M21" s="507">
        <f t="shared" si="10"/>
        <v>1341973.9038532376</v>
      </c>
      <c r="N21" s="507">
        <f t="shared" si="11"/>
        <v>1392337.1788450864</v>
      </c>
      <c r="O21" s="508">
        <f t="shared" si="12"/>
        <v>16666762.213038838</v>
      </c>
      <c r="P21" s="509"/>
    </row>
    <row r="22" spans="1:16" ht="12.75" customHeight="1" x14ac:dyDescent="0.2">
      <c r="A22" s="505" t="s">
        <v>158</v>
      </c>
      <c r="B22" s="536">
        <f>' CUADRO 11- FOCO'!D27+' CUADRO 11- FOCO'!G27</f>
        <v>2.931527964862414</v>
      </c>
      <c r="C22" s="507">
        <f t="shared" si="0"/>
        <v>215964.53784542595</v>
      </c>
      <c r="D22" s="507">
        <f t="shared" si="1"/>
        <v>152295.15960122948</v>
      </c>
      <c r="E22" s="507">
        <f t="shared" si="2"/>
        <v>157958.75041254939</v>
      </c>
      <c r="F22" s="507">
        <f t="shared" si="3"/>
        <v>147996.67062323212</v>
      </c>
      <c r="G22" s="507">
        <f t="shared" si="4"/>
        <v>168030.24586401909</v>
      </c>
      <c r="H22" s="507">
        <f t="shared" si="5"/>
        <v>164977.0146673744</v>
      </c>
      <c r="I22" s="507">
        <f t="shared" si="6"/>
        <v>169082.72400326512</v>
      </c>
      <c r="J22" s="507">
        <f t="shared" si="7"/>
        <v>165091.63926288675</v>
      </c>
      <c r="K22" s="507">
        <f t="shared" si="8"/>
        <v>172891.45047595591</v>
      </c>
      <c r="L22" s="507">
        <f t="shared" si="9"/>
        <v>172115.11595877085</v>
      </c>
      <c r="M22" s="507">
        <f t="shared" si="10"/>
        <v>162434.39223257365</v>
      </c>
      <c r="N22" s="507">
        <f t="shared" si="11"/>
        <v>168530.43325144399</v>
      </c>
      <c r="O22" s="508">
        <f t="shared" si="12"/>
        <v>2017368.1341987264</v>
      </c>
      <c r="P22" s="509"/>
    </row>
    <row r="23" spans="1:16" ht="12.75" customHeight="1" thickBot="1" x14ac:dyDescent="0.25">
      <c r="A23" s="505" t="s">
        <v>159</v>
      </c>
      <c r="B23" s="537">
        <f>' CUADRO 11- FOCO'!D28+' CUADRO 11- FOCO'!G28</f>
        <v>4.2618673965262408</v>
      </c>
      <c r="C23" s="507">
        <f t="shared" si="0"/>
        <v>313970.13219093619</v>
      </c>
      <c r="D23" s="507">
        <f t="shared" si="1"/>
        <v>221407.32857846119</v>
      </c>
      <c r="E23" s="507">
        <f t="shared" si="2"/>
        <v>229641.08016307652</v>
      </c>
      <c r="F23" s="507">
        <f t="shared" si="3"/>
        <v>215158.16764626652</v>
      </c>
      <c r="G23" s="507">
        <f t="shared" si="4"/>
        <v>244283.06161894693</v>
      </c>
      <c r="H23" s="507">
        <f t="shared" si="5"/>
        <v>239844.26156416134</v>
      </c>
      <c r="I23" s="507">
        <f t="shared" si="6"/>
        <v>245813.15866082173</v>
      </c>
      <c r="J23" s="507">
        <f t="shared" si="7"/>
        <v>240010.90327193605</v>
      </c>
      <c r="K23" s="507">
        <f t="shared" si="8"/>
        <v>251350.3008511092</v>
      </c>
      <c r="L23" s="507">
        <f t="shared" si="9"/>
        <v>250221.66254124267</v>
      </c>
      <c r="M23" s="507">
        <f t="shared" si="10"/>
        <v>236147.78662466267</v>
      </c>
      <c r="N23" s="507">
        <f t="shared" si="11"/>
        <v>245010.23609729781</v>
      </c>
      <c r="O23" s="508">
        <f t="shared" si="12"/>
        <v>2932858.0798089188</v>
      </c>
      <c r="P23" s="509"/>
    </row>
    <row r="24" spans="1:16" ht="13.5" thickBot="1" x14ac:dyDescent="0.25">
      <c r="A24" s="510" t="s">
        <v>264</v>
      </c>
      <c r="B24" s="949">
        <f>SUM(B4:B23)</f>
        <v>99.999999999999986</v>
      </c>
      <c r="C24" s="512">
        <f>'X22.55 POE'!B73</f>
        <v>7366961.5447643138</v>
      </c>
      <c r="D24" s="512">
        <f>'X22.55 POE'!C73</f>
        <v>5195077.8374504494</v>
      </c>
      <c r="E24" s="512">
        <f>'X22.55 POE'!D73</f>
        <v>5388273.7025148217</v>
      </c>
      <c r="F24" s="512">
        <f>'X22.55 POE'!E73</f>
        <v>5048448.194836786</v>
      </c>
      <c r="G24" s="512">
        <f>'X22.55 POE'!F73</f>
        <v>5731831.586737236</v>
      </c>
      <c r="H24" s="512">
        <f>'X22.55 POE'!G73</f>
        <v>5627680.0577993905</v>
      </c>
      <c r="I24" s="512">
        <f>'X22.55 POE'!H73</f>
        <v>5767733.6198019423</v>
      </c>
      <c r="J24" s="512">
        <f>'X22.55 POE'!I73</f>
        <v>5631590.1209775778</v>
      </c>
      <c r="K24" s="512">
        <f>'X22.55 POE'!J73</f>
        <v>5897656.5309371101</v>
      </c>
      <c r="L24" s="512">
        <f>'X22.55 POE'!K73</f>
        <v>5871174.282550253</v>
      </c>
      <c r="M24" s="512">
        <f>'X22.55 POE'!L73</f>
        <v>5540946.3658381719</v>
      </c>
      <c r="N24" s="512">
        <f>'X22.55 POE'!M73</f>
        <v>5748893.9307919471</v>
      </c>
      <c r="O24" s="512">
        <f>SUM(C24:N24)</f>
        <v>68816267.775000006</v>
      </c>
    </row>
    <row r="25" spans="1:16" x14ac:dyDescent="0.2">
      <c r="A25" s="514" t="s">
        <v>265</v>
      </c>
      <c r="O25" s="509"/>
    </row>
    <row r="26" spans="1:16" ht="36" customHeight="1" x14ac:dyDescent="0.2">
      <c r="A26" s="960" t="s">
        <v>495</v>
      </c>
      <c r="B26" s="513"/>
      <c r="C26" s="1194" t="s">
        <v>496</v>
      </c>
      <c r="D26" s="1194"/>
      <c r="E26" s="1194"/>
      <c r="F26" s="1194"/>
      <c r="G26" s="1194"/>
      <c r="H26" s="1194"/>
      <c r="I26" s="1194"/>
      <c r="J26" s="1194"/>
      <c r="K26" s="1194"/>
      <c r="L26" s="1194"/>
      <c r="M26" s="1194"/>
      <c r="N26" s="1194"/>
      <c r="O26" s="1194"/>
    </row>
  </sheetData>
  <mergeCells count="2">
    <mergeCell ref="A1:O1"/>
    <mergeCell ref="C26:O26"/>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T31"/>
  <sheetViews>
    <sheetView workbookViewId="0">
      <selection sqref="A1:O1"/>
    </sheetView>
  </sheetViews>
  <sheetFormatPr baseColWidth="10" defaultRowHeight="12.75" x14ac:dyDescent="0.2"/>
  <cols>
    <col min="1" max="1" width="16.42578125" style="500" bestFit="1" customWidth="1"/>
    <col min="2" max="2" width="9.7109375" style="500" hidden="1" customWidth="1"/>
    <col min="3" max="10" width="9.7109375" style="500" customWidth="1"/>
    <col min="11" max="11" width="10.42578125" style="500" bestFit="1" customWidth="1"/>
    <col min="12" max="14" width="9.7109375" style="500" customWidth="1"/>
    <col min="15" max="15" width="11.42578125" style="500" bestFit="1" customWidth="1"/>
    <col min="16" max="16" width="12.7109375" style="500" bestFit="1" customWidth="1"/>
    <col min="17" max="19" width="11.42578125" style="500"/>
    <col min="20" max="20" width="11.7109375" style="500" bestFit="1" customWidth="1"/>
    <col min="21" max="16384" width="11.42578125" style="500"/>
  </cols>
  <sheetData>
    <row r="1" spans="1:17" x14ac:dyDescent="0.2">
      <c r="A1" s="1193" t="s">
        <v>439</v>
      </c>
      <c r="B1" s="1193"/>
      <c r="C1" s="1193"/>
      <c r="D1" s="1193"/>
      <c r="E1" s="1193"/>
      <c r="F1" s="1193"/>
      <c r="G1" s="1193"/>
      <c r="H1" s="1193"/>
      <c r="I1" s="1193"/>
      <c r="J1" s="1193"/>
      <c r="K1" s="1193"/>
      <c r="L1" s="1193"/>
      <c r="M1" s="1193"/>
      <c r="N1" s="1193"/>
      <c r="O1" s="1193"/>
    </row>
    <row r="2" spans="1:17" ht="13.5" thickBot="1" x14ac:dyDescent="0.25">
      <c r="O2" s="965" t="s">
        <v>557</v>
      </c>
    </row>
    <row r="3" spans="1:17" ht="23.25" thickBot="1" x14ac:dyDescent="0.25">
      <c r="A3" s="773" t="s">
        <v>363</v>
      </c>
      <c r="B3" s="779" t="s">
        <v>257</v>
      </c>
      <c r="C3" s="773" t="s">
        <v>1</v>
      </c>
      <c r="D3" s="775" t="s">
        <v>2</v>
      </c>
      <c r="E3" s="773" t="s">
        <v>3</v>
      </c>
      <c r="F3" s="775" t="s">
        <v>4</v>
      </c>
      <c r="G3" s="773" t="s">
        <v>5</v>
      </c>
      <c r="H3" s="773" t="s">
        <v>6</v>
      </c>
      <c r="I3" s="773" t="s">
        <v>7</v>
      </c>
      <c r="J3" s="775" t="s">
        <v>8</v>
      </c>
      <c r="K3" s="773" t="s">
        <v>9</v>
      </c>
      <c r="L3" s="775" t="s">
        <v>10</v>
      </c>
      <c r="M3" s="773" t="s">
        <v>11</v>
      </c>
      <c r="N3" s="773" t="s">
        <v>12</v>
      </c>
      <c r="O3" s="776" t="s">
        <v>160</v>
      </c>
    </row>
    <row r="4" spans="1:17" x14ac:dyDescent="0.2">
      <c r="A4" s="505" t="s">
        <v>258</v>
      </c>
      <c r="B4" s="956">
        <f>ISR!C4</f>
        <v>0.47644403382627226</v>
      </c>
      <c r="C4" s="507">
        <f>$C$24*B4/100</f>
        <v>157292.57270665455</v>
      </c>
      <c r="D4" s="507">
        <f>$D$24*B4/100</f>
        <v>141984.54801598765</v>
      </c>
      <c r="E4" s="507">
        <f>$E$24*B4/100</f>
        <v>106443.92492890338</v>
      </c>
      <c r="F4" s="507">
        <f>$F$24*B4/100</f>
        <v>95046.258246908241</v>
      </c>
      <c r="G4" s="507">
        <f>$G$24*B4/100</f>
        <v>88997.296813773326</v>
      </c>
      <c r="H4" s="507">
        <f>$H$24*B4/100</f>
        <v>78207.057816429238</v>
      </c>
      <c r="I4" s="507">
        <f>$I$24*B4/100</f>
        <v>86030.027017225395</v>
      </c>
      <c r="J4" s="507">
        <f>$J$24*B4/100</f>
        <v>67819.742522193177</v>
      </c>
      <c r="K4" s="507">
        <f>$K$24*B4/100</f>
        <v>87203.785383801398</v>
      </c>
      <c r="L4" s="507">
        <f>$L$24*B4/100</f>
        <v>84954.88098579066</v>
      </c>
      <c r="M4" s="507">
        <f>$M$24*B4/100</f>
        <v>96125.626172529126</v>
      </c>
      <c r="N4" s="507">
        <f>$N$24*B4/100</f>
        <v>63282.497033848165</v>
      </c>
      <c r="O4" s="508">
        <f>SUM(C4:N4)</f>
        <v>1153388.2176440442</v>
      </c>
      <c r="P4" s="509"/>
      <c r="Q4" s="509"/>
    </row>
    <row r="5" spans="1:17" x14ac:dyDescent="0.2">
      <c r="A5" s="505" t="s">
        <v>141</v>
      </c>
      <c r="B5" s="956">
        <f>ISR!C5</f>
        <v>2.5216284879209514</v>
      </c>
      <c r="C5" s="507">
        <f t="shared" ref="C5:C23" si="0">$C$24*B5/100</f>
        <v>832486.93259973486</v>
      </c>
      <c r="D5" s="507">
        <f t="shared" ref="D5:D23" si="1">$D$24*B5/100</f>
        <v>751467.65559508593</v>
      </c>
      <c r="E5" s="507">
        <f t="shared" ref="E5:E23" si="2">$E$24*B5/100</f>
        <v>563365.29457878368</v>
      </c>
      <c r="F5" s="507">
        <f t="shared" ref="F5:F23" si="3">$F$24*B5/100</f>
        <v>503041.98489153048</v>
      </c>
      <c r="G5" s="507">
        <f t="shared" ref="G5:G23" si="4">$G$24*B5/100</f>
        <v>471027.24152360321</v>
      </c>
      <c r="H5" s="507">
        <f t="shared" ref="H5:H23" si="5">$H$24*B5/100</f>
        <v>413918.80461304734</v>
      </c>
      <c r="I5" s="507">
        <f t="shared" ref="I5:I23" si="6">$I$24*B5/100</f>
        <v>455322.66445033683</v>
      </c>
      <c r="J5" s="507">
        <f t="shared" ref="J5:J23" si="7">$J$24*B5/100</f>
        <v>358942.88236545445</v>
      </c>
      <c r="K5" s="507">
        <f t="shared" ref="K5:K23" si="8">$K$24*B5/100</f>
        <v>461534.89993857226</v>
      </c>
      <c r="L5" s="507">
        <f t="shared" ref="L5:L23" si="9">$L$24*B5/100</f>
        <v>449632.34477151057</v>
      </c>
      <c r="M5" s="507">
        <f t="shared" ref="M5:M23" si="10">$M$24*B5/100</f>
        <v>508754.64937456645</v>
      </c>
      <c r="N5" s="507">
        <f t="shared" ref="N5:N23" si="11">$N$24*B5/100</f>
        <v>334929.04932777712</v>
      </c>
      <c r="O5" s="508">
        <f t="shared" ref="O5:O23" si="12">SUM(C5:N5)</f>
        <v>6104424.4040300027</v>
      </c>
      <c r="P5" s="509"/>
      <c r="Q5" s="509"/>
    </row>
    <row r="6" spans="1:17" x14ac:dyDescent="0.2">
      <c r="A6" s="505" t="s">
        <v>142</v>
      </c>
      <c r="B6" s="956">
        <f>ISR!C6</f>
        <v>1.908158656976872</v>
      </c>
      <c r="C6" s="507">
        <f t="shared" si="0"/>
        <v>629956.85322781885</v>
      </c>
      <c r="D6" s="507">
        <f t="shared" si="1"/>
        <v>568648.204654495</v>
      </c>
      <c r="E6" s="507">
        <f t="shared" si="2"/>
        <v>426307.98669995472</v>
      </c>
      <c r="F6" s="507">
        <f t="shared" si="3"/>
        <v>380660.32442590862</v>
      </c>
      <c r="G6" s="507">
        <f t="shared" si="4"/>
        <v>356434.23005830788</v>
      </c>
      <c r="H6" s="507">
        <f t="shared" si="5"/>
        <v>313219.31604568078</v>
      </c>
      <c r="I6" s="507">
        <f t="shared" si="6"/>
        <v>344550.31264538993</v>
      </c>
      <c r="J6" s="507">
        <f t="shared" si="7"/>
        <v>271618.11171897897</v>
      </c>
      <c r="K6" s="507">
        <f t="shared" si="8"/>
        <v>349251.21564630303</v>
      </c>
      <c r="L6" s="507">
        <f t="shared" si="9"/>
        <v>340244.35210912139</v>
      </c>
      <c r="M6" s="507">
        <f t="shared" si="10"/>
        <v>384983.19365106436</v>
      </c>
      <c r="N6" s="507">
        <f t="shared" si="11"/>
        <v>253446.44066690377</v>
      </c>
      <c r="O6" s="508">
        <f t="shared" si="12"/>
        <v>4619320.5415499266</v>
      </c>
      <c r="P6" s="509"/>
      <c r="Q6" s="509"/>
    </row>
    <row r="7" spans="1:17" x14ac:dyDescent="0.2">
      <c r="A7" s="312" t="s">
        <v>349</v>
      </c>
      <c r="B7" s="956">
        <f>ISR!C7</f>
        <v>27.377653271595076</v>
      </c>
      <c r="C7" s="507">
        <f t="shared" si="0"/>
        <v>9038420.4901811667</v>
      </c>
      <c r="D7" s="507">
        <f t="shared" si="1"/>
        <v>8158783.5076622237</v>
      </c>
      <c r="E7" s="507">
        <f t="shared" si="2"/>
        <v>6116531.3503197804</v>
      </c>
      <c r="F7" s="507">
        <f t="shared" si="3"/>
        <v>5461593.2162037911</v>
      </c>
      <c r="G7" s="507">
        <f t="shared" si="4"/>
        <v>5114004.92248616</v>
      </c>
      <c r="H7" s="507">
        <f t="shared" si="5"/>
        <v>4493971.086372165</v>
      </c>
      <c r="I7" s="507">
        <f t="shared" si="6"/>
        <v>4943498.2566753617</v>
      </c>
      <c r="J7" s="507">
        <f t="shared" si="7"/>
        <v>3897090.2433810108</v>
      </c>
      <c r="K7" s="507">
        <f t="shared" si="8"/>
        <v>5010945.3171972046</v>
      </c>
      <c r="L7" s="507">
        <f t="shared" si="9"/>
        <v>4881717.7049732814</v>
      </c>
      <c r="M7" s="507">
        <f t="shared" si="10"/>
        <v>5523616.3683940098</v>
      </c>
      <c r="N7" s="507">
        <f t="shared" si="11"/>
        <v>3636368.8889956321</v>
      </c>
      <c r="O7" s="508">
        <f t="shared" si="12"/>
        <v>66276541.352841787</v>
      </c>
      <c r="P7" s="509"/>
      <c r="Q7" s="509"/>
    </row>
    <row r="8" spans="1:17" x14ac:dyDescent="0.2">
      <c r="A8" s="505" t="s">
        <v>144</v>
      </c>
      <c r="B8" s="956">
        <f>ISR!C8</f>
        <v>10.574331793447222</v>
      </c>
      <c r="C8" s="507">
        <f t="shared" si="0"/>
        <v>3490995.2362874355</v>
      </c>
      <c r="D8" s="507">
        <f t="shared" si="1"/>
        <v>3151244.6660443451</v>
      </c>
      <c r="E8" s="507">
        <f t="shared" si="2"/>
        <v>2362446.1629955778</v>
      </c>
      <c r="F8" s="507">
        <f t="shared" si="3"/>
        <v>2109483.1692130137</v>
      </c>
      <c r="G8" s="507">
        <f t="shared" si="4"/>
        <v>1975230.8317746606</v>
      </c>
      <c r="H8" s="507">
        <f t="shared" si="5"/>
        <v>1735749.2574705649</v>
      </c>
      <c r="I8" s="507">
        <f t="shared" si="6"/>
        <v>1909374.4181737017</v>
      </c>
      <c r="J8" s="507">
        <f t="shared" si="7"/>
        <v>1505210.2842310511</v>
      </c>
      <c r="K8" s="507">
        <f t="shared" si="8"/>
        <v>1935425.1387878987</v>
      </c>
      <c r="L8" s="507">
        <f t="shared" si="9"/>
        <v>1885512.327234088</v>
      </c>
      <c r="M8" s="507">
        <f t="shared" si="10"/>
        <v>2133438.962049915</v>
      </c>
      <c r="N8" s="507">
        <f t="shared" si="11"/>
        <v>1404509.3921729166</v>
      </c>
      <c r="O8" s="508">
        <f t="shared" si="12"/>
        <v>25598619.846435174</v>
      </c>
      <c r="P8" s="509"/>
      <c r="Q8" s="509"/>
    </row>
    <row r="9" spans="1:17" x14ac:dyDescent="0.2">
      <c r="A9" s="505" t="s">
        <v>260</v>
      </c>
      <c r="B9" s="956">
        <f>ISR!C9</f>
        <v>2.5830851398934778</v>
      </c>
      <c r="C9" s="507">
        <f t="shared" si="0"/>
        <v>852776.14646828535</v>
      </c>
      <c r="D9" s="507">
        <f t="shared" si="1"/>
        <v>769782.28298755898</v>
      </c>
      <c r="E9" s="507">
        <f t="shared" si="2"/>
        <v>577095.52685057803</v>
      </c>
      <c r="F9" s="507">
        <f t="shared" si="3"/>
        <v>515302.0288833942</v>
      </c>
      <c r="G9" s="507">
        <f t="shared" si="4"/>
        <v>482507.02825291723</v>
      </c>
      <c r="H9" s="507">
        <f t="shared" si="5"/>
        <v>424006.75533292576</v>
      </c>
      <c r="I9" s="507">
        <f t="shared" si="6"/>
        <v>466419.70220128604</v>
      </c>
      <c r="J9" s="507">
        <f t="shared" si="7"/>
        <v>367690.97031941667</v>
      </c>
      <c r="K9" s="507">
        <f t="shared" si="8"/>
        <v>472783.3411163945</v>
      </c>
      <c r="L9" s="507">
        <f t="shared" si="9"/>
        <v>460590.69912885554</v>
      </c>
      <c r="M9" s="507">
        <f t="shared" si="10"/>
        <v>521153.92134337104</v>
      </c>
      <c r="N9" s="507">
        <f t="shared" si="11"/>
        <v>343091.87669058074</v>
      </c>
      <c r="O9" s="508">
        <f t="shared" si="12"/>
        <v>6253200.2795755649</v>
      </c>
      <c r="P9" s="509"/>
      <c r="Q9" s="509"/>
    </row>
    <row r="10" spans="1:17" x14ac:dyDescent="0.2">
      <c r="A10" s="505" t="s">
        <v>146</v>
      </c>
      <c r="B10" s="956">
        <f>ISR!C10</f>
        <v>1.4483862014183735</v>
      </c>
      <c r="C10" s="507">
        <f t="shared" si="0"/>
        <v>478168.21225425572</v>
      </c>
      <c r="D10" s="507">
        <f t="shared" si="1"/>
        <v>431631.93483490543</v>
      </c>
      <c r="E10" s="507">
        <f t="shared" si="2"/>
        <v>323588.71377546346</v>
      </c>
      <c r="F10" s="507">
        <f t="shared" si="3"/>
        <v>288939.89465185761</v>
      </c>
      <c r="G10" s="507">
        <f t="shared" si="4"/>
        <v>270551.09838064818</v>
      </c>
      <c r="H10" s="507">
        <f t="shared" si="5"/>
        <v>237748.85475037483</v>
      </c>
      <c r="I10" s="507">
        <f t="shared" si="6"/>
        <v>261530.62100224406</v>
      </c>
      <c r="J10" s="507">
        <f t="shared" si="7"/>
        <v>206171.49608113099</v>
      </c>
      <c r="K10" s="507">
        <f t="shared" si="8"/>
        <v>265098.83741644712</v>
      </c>
      <c r="L10" s="507">
        <f t="shared" si="9"/>
        <v>258262.18532904674</v>
      </c>
      <c r="M10" s="507">
        <f t="shared" si="10"/>
        <v>292221.16485093604</v>
      </c>
      <c r="N10" s="507">
        <f t="shared" si="11"/>
        <v>192378.30466473274</v>
      </c>
      <c r="O10" s="508">
        <f t="shared" si="12"/>
        <v>3506291.3179920428</v>
      </c>
      <c r="P10" s="509"/>
      <c r="Q10" s="509"/>
    </row>
    <row r="11" spans="1:17" x14ac:dyDescent="0.2">
      <c r="A11" s="505" t="s">
        <v>147</v>
      </c>
      <c r="B11" s="956">
        <f>ISR!C11</f>
        <v>3.913388587041835</v>
      </c>
      <c r="C11" s="507">
        <f t="shared" si="0"/>
        <v>1291960.681957284</v>
      </c>
      <c r="D11" s="507">
        <f t="shared" si="1"/>
        <v>1166224.5096864095</v>
      </c>
      <c r="E11" s="507">
        <f t="shared" si="2"/>
        <v>874302.98503559176</v>
      </c>
      <c r="F11" s="507">
        <f t="shared" si="3"/>
        <v>780685.48634635296</v>
      </c>
      <c r="G11" s="507">
        <f t="shared" si="4"/>
        <v>731000.87502741267</v>
      </c>
      <c r="H11" s="507">
        <f t="shared" si="5"/>
        <v>642372.63089862315</v>
      </c>
      <c r="I11" s="507">
        <f t="shared" si="6"/>
        <v>706628.48513047304</v>
      </c>
      <c r="J11" s="507">
        <f t="shared" si="7"/>
        <v>557053.89829530823</v>
      </c>
      <c r="K11" s="507">
        <f t="shared" si="8"/>
        <v>716269.43405539601</v>
      </c>
      <c r="L11" s="507">
        <f t="shared" si="9"/>
        <v>697797.51252907363</v>
      </c>
      <c r="M11" s="507">
        <f t="shared" si="10"/>
        <v>789551.13649926055</v>
      </c>
      <c r="N11" s="507">
        <f t="shared" si="11"/>
        <v>519786.13240872585</v>
      </c>
      <c r="O11" s="508">
        <f t="shared" si="12"/>
        <v>9473633.7678699102</v>
      </c>
      <c r="P11" s="509"/>
      <c r="Q11" s="509"/>
    </row>
    <row r="12" spans="1:17" x14ac:dyDescent="0.2">
      <c r="A12" s="505" t="s">
        <v>148</v>
      </c>
      <c r="B12" s="956">
        <f>ISR!C12</f>
        <v>1.9338154480753025</v>
      </c>
      <c r="C12" s="507">
        <f t="shared" si="0"/>
        <v>638427.15066623921</v>
      </c>
      <c r="D12" s="507">
        <f t="shared" si="1"/>
        <v>576294.15597095026</v>
      </c>
      <c r="E12" s="507">
        <f t="shared" si="2"/>
        <v>432040.05458558956</v>
      </c>
      <c r="F12" s="507">
        <f t="shared" si="3"/>
        <v>385778.62126540183</v>
      </c>
      <c r="G12" s="507">
        <f t="shared" si="4"/>
        <v>361226.78677129338</v>
      </c>
      <c r="H12" s="507">
        <f t="shared" si="5"/>
        <v>317430.81205016357</v>
      </c>
      <c r="I12" s="507">
        <f t="shared" si="6"/>
        <v>349183.08013677201</v>
      </c>
      <c r="J12" s="507">
        <f t="shared" si="7"/>
        <v>275270.24469306029</v>
      </c>
      <c r="K12" s="507">
        <f t="shared" si="8"/>
        <v>353947.19071522442</v>
      </c>
      <c r="L12" s="507">
        <f t="shared" si="9"/>
        <v>344819.22235513903</v>
      </c>
      <c r="M12" s="507">
        <f t="shared" si="10"/>
        <v>390159.61508740386</v>
      </c>
      <c r="N12" s="507">
        <f t="shared" si="11"/>
        <v>256854.24030612965</v>
      </c>
      <c r="O12" s="508">
        <f t="shared" si="12"/>
        <v>4681431.1746033672</v>
      </c>
      <c r="P12" s="509"/>
      <c r="Q12" s="509"/>
    </row>
    <row r="13" spans="1:17" x14ac:dyDescent="0.2">
      <c r="A13" s="505" t="s">
        <v>149</v>
      </c>
      <c r="B13" s="956">
        <f>ISR!C13</f>
        <v>0.64807279136434282</v>
      </c>
      <c r="C13" s="507">
        <f t="shared" si="0"/>
        <v>213953.85274579845</v>
      </c>
      <c r="D13" s="507">
        <f t="shared" si="1"/>
        <v>193131.44006516822</v>
      </c>
      <c r="E13" s="507">
        <f t="shared" si="2"/>
        <v>144788.06880726869</v>
      </c>
      <c r="F13" s="507">
        <f t="shared" si="3"/>
        <v>129284.6368462877</v>
      </c>
      <c r="G13" s="507">
        <f t="shared" si="4"/>
        <v>121056.66662837027</v>
      </c>
      <c r="H13" s="507">
        <f t="shared" si="5"/>
        <v>106379.47516405863</v>
      </c>
      <c r="I13" s="507">
        <f t="shared" si="6"/>
        <v>117020.50144788423</v>
      </c>
      <c r="J13" s="507">
        <f t="shared" si="7"/>
        <v>92250.352036090757</v>
      </c>
      <c r="K13" s="507">
        <f t="shared" si="8"/>
        <v>118617.0811235813</v>
      </c>
      <c r="L13" s="507">
        <f t="shared" si="9"/>
        <v>115558.05708874199</v>
      </c>
      <c r="M13" s="507">
        <f t="shared" si="10"/>
        <v>130752.82394656172</v>
      </c>
      <c r="N13" s="507">
        <f t="shared" si="11"/>
        <v>86078.661050430906</v>
      </c>
      <c r="O13" s="508">
        <f t="shared" si="12"/>
        <v>1568871.616950243</v>
      </c>
      <c r="P13" s="509"/>
      <c r="Q13" s="509"/>
    </row>
    <row r="14" spans="1:17" x14ac:dyDescent="0.2">
      <c r="A14" s="505" t="s">
        <v>150</v>
      </c>
      <c r="B14" s="956">
        <f>ISR!C14</f>
        <v>3.7871570186635215</v>
      </c>
      <c r="C14" s="507">
        <f t="shared" si="0"/>
        <v>1250286.7670011765</v>
      </c>
      <c r="D14" s="507">
        <f t="shared" si="1"/>
        <v>1128606.3826682016</v>
      </c>
      <c r="E14" s="507">
        <f t="shared" si="2"/>
        <v>846101.17614691472</v>
      </c>
      <c r="F14" s="507">
        <f t="shared" si="3"/>
        <v>755503.43474074453</v>
      </c>
      <c r="G14" s="507">
        <f t="shared" si="4"/>
        <v>707421.46682701679</v>
      </c>
      <c r="H14" s="507">
        <f t="shared" si="5"/>
        <v>621652.04492100328</v>
      </c>
      <c r="I14" s="507">
        <f t="shared" si="6"/>
        <v>683835.24087301036</v>
      </c>
      <c r="J14" s="507">
        <f t="shared" si="7"/>
        <v>539085.38183213118</v>
      </c>
      <c r="K14" s="507">
        <f t="shared" si="8"/>
        <v>693165.20813169191</v>
      </c>
      <c r="L14" s="507">
        <f t="shared" si="9"/>
        <v>675289.12307122664</v>
      </c>
      <c r="M14" s="507">
        <f t="shared" si="10"/>
        <v>764083.11152336095</v>
      </c>
      <c r="N14" s="507">
        <f t="shared" si="11"/>
        <v>503019.73744030565</v>
      </c>
      <c r="O14" s="508">
        <f t="shared" si="12"/>
        <v>9168049.0751767829</v>
      </c>
      <c r="P14" s="509"/>
      <c r="Q14" s="509"/>
    </row>
    <row r="15" spans="1:17" x14ac:dyDescent="0.2">
      <c r="A15" s="505" t="s">
        <v>151</v>
      </c>
      <c r="B15" s="956">
        <f>ISR!C15</f>
        <v>0.12038849037444542</v>
      </c>
      <c r="C15" s="507">
        <f t="shared" si="0"/>
        <v>39744.889285719612</v>
      </c>
      <c r="D15" s="507">
        <f t="shared" si="1"/>
        <v>35876.837946459658</v>
      </c>
      <c r="E15" s="507">
        <f t="shared" si="2"/>
        <v>26896.387659235803</v>
      </c>
      <c r="F15" s="507">
        <f t="shared" si="3"/>
        <v>24016.410603763135</v>
      </c>
      <c r="G15" s="507">
        <f t="shared" si="4"/>
        <v>22487.951260028567</v>
      </c>
      <c r="H15" s="507">
        <f t="shared" si="5"/>
        <v>19761.459812045839</v>
      </c>
      <c r="I15" s="507">
        <f t="shared" si="6"/>
        <v>21738.177716909024</v>
      </c>
      <c r="J15" s="507">
        <f t="shared" si="7"/>
        <v>17136.779642847945</v>
      </c>
      <c r="K15" s="507">
        <f t="shared" si="8"/>
        <v>22034.764488458321</v>
      </c>
      <c r="L15" s="507">
        <f t="shared" si="9"/>
        <v>21466.508436853139</v>
      </c>
      <c r="M15" s="507">
        <f t="shared" si="10"/>
        <v>24289.146677464236</v>
      </c>
      <c r="N15" s="507">
        <f t="shared" si="11"/>
        <v>15990.302625571885</v>
      </c>
      <c r="O15" s="508">
        <f t="shared" si="12"/>
        <v>291439.61615535722</v>
      </c>
      <c r="P15" s="509"/>
      <c r="Q15" s="509"/>
    </row>
    <row r="16" spans="1:17" x14ac:dyDescent="0.2">
      <c r="A16" s="505" t="s">
        <v>152</v>
      </c>
      <c r="B16" s="956">
        <f>ISR!C16</f>
        <v>3.9993905915616073</v>
      </c>
      <c r="C16" s="507">
        <f t="shared" si="0"/>
        <v>1320353.2644820488</v>
      </c>
      <c r="D16" s="507">
        <f t="shared" si="1"/>
        <v>1191853.8698489114</v>
      </c>
      <c r="E16" s="507">
        <f t="shared" si="2"/>
        <v>893516.97505939344</v>
      </c>
      <c r="F16" s="507">
        <f t="shared" si="3"/>
        <v>797842.10527951957</v>
      </c>
      <c r="G16" s="507">
        <f t="shared" si="4"/>
        <v>747065.60746063804</v>
      </c>
      <c r="H16" s="507">
        <f t="shared" si="5"/>
        <v>656489.63785490964</v>
      </c>
      <c r="I16" s="507">
        <f t="shared" si="6"/>
        <v>722157.60134786577</v>
      </c>
      <c r="J16" s="507">
        <f t="shared" si="7"/>
        <v>569295.91076439549</v>
      </c>
      <c r="K16" s="507">
        <f t="shared" si="8"/>
        <v>732010.42315854342</v>
      </c>
      <c r="L16" s="507">
        <f t="shared" si="9"/>
        <v>713132.55618538859</v>
      </c>
      <c r="M16" s="507">
        <f t="shared" si="10"/>
        <v>806902.59007957799</v>
      </c>
      <c r="N16" s="507">
        <f t="shared" si="11"/>
        <v>531209.13534197689</v>
      </c>
      <c r="O16" s="508">
        <f t="shared" si="12"/>
        <v>9681829.6768631693</v>
      </c>
      <c r="P16" s="509"/>
      <c r="Q16" s="509"/>
    </row>
    <row r="17" spans="1:20" x14ac:dyDescent="0.2">
      <c r="A17" s="505" t="s">
        <v>261</v>
      </c>
      <c r="B17" s="956">
        <f>ISR!C17</f>
        <v>1.268287171549356</v>
      </c>
      <c r="C17" s="507">
        <f t="shared" si="0"/>
        <v>418710.56825235841</v>
      </c>
      <c r="D17" s="507">
        <f t="shared" si="1"/>
        <v>377960.82650197059</v>
      </c>
      <c r="E17" s="507">
        <f t="shared" si="2"/>
        <v>283352.19856256398</v>
      </c>
      <c r="F17" s="507">
        <f t="shared" si="3"/>
        <v>253011.77363945346</v>
      </c>
      <c r="G17" s="507">
        <f t="shared" si="4"/>
        <v>236909.52522796587</v>
      </c>
      <c r="H17" s="507">
        <f t="shared" si="5"/>
        <v>208186.06407266646</v>
      </c>
      <c r="I17" s="507">
        <f t="shared" si="6"/>
        <v>229010.69566919375</v>
      </c>
      <c r="J17" s="507">
        <f t="shared" si="7"/>
        <v>180535.18002503089</v>
      </c>
      <c r="K17" s="507">
        <f t="shared" si="8"/>
        <v>232135.22357412265</v>
      </c>
      <c r="L17" s="507">
        <f t="shared" si="9"/>
        <v>226148.67238335259</v>
      </c>
      <c r="M17" s="507">
        <f t="shared" si="10"/>
        <v>255885.03554694954</v>
      </c>
      <c r="N17" s="507">
        <f t="shared" si="11"/>
        <v>168457.09773523046</v>
      </c>
      <c r="O17" s="508">
        <f t="shared" si="12"/>
        <v>3070302.8611908588</v>
      </c>
      <c r="P17" s="509"/>
      <c r="Q17" s="509"/>
    </row>
    <row r="18" spans="1:20" x14ac:dyDescent="0.2">
      <c r="A18" s="505" t="s">
        <v>262</v>
      </c>
      <c r="B18" s="956">
        <f>ISR!C18</f>
        <v>2.6539373953560754</v>
      </c>
      <c r="C18" s="507">
        <f t="shared" si="0"/>
        <v>876167.21184543043</v>
      </c>
      <c r="D18" s="507">
        <f t="shared" si="1"/>
        <v>790896.88355665433</v>
      </c>
      <c r="E18" s="507">
        <f t="shared" si="2"/>
        <v>592924.86172740895</v>
      </c>
      <c r="F18" s="507">
        <f t="shared" si="3"/>
        <v>529436.41045176436</v>
      </c>
      <c r="G18" s="507">
        <f t="shared" si="4"/>
        <v>495741.86542506109</v>
      </c>
      <c r="H18" s="507">
        <f t="shared" si="5"/>
        <v>435636.9701031422</v>
      </c>
      <c r="I18" s="507">
        <f t="shared" si="6"/>
        <v>479213.27504283667</v>
      </c>
      <c r="J18" s="507">
        <f t="shared" si="7"/>
        <v>377776.48169417377</v>
      </c>
      <c r="K18" s="507">
        <f t="shared" si="8"/>
        <v>485751.46421303414</v>
      </c>
      <c r="L18" s="507">
        <f t="shared" si="9"/>
        <v>473224.38641015044</v>
      </c>
      <c r="M18" s="507">
        <f t="shared" si="10"/>
        <v>535448.81631221354</v>
      </c>
      <c r="N18" s="507">
        <f t="shared" si="11"/>
        <v>352502.65178234776</v>
      </c>
      <c r="O18" s="508">
        <f t="shared" si="12"/>
        <v>6424721.2785642184</v>
      </c>
      <c r="P18" s="509"/>
      <c r="Q18" s="509"/>
    </row>
    <row r="19" spans="1:20" x14ac:dyDescent="0.2">
      <c r="A19" s="505" t="s">
        <v>263</v>
      </c>
      <c r="B19" s="956">
        <f>ISR!C19</f>
        <v>0.86460245168334326</v>
      </c>
      <c r="C19" s="507">
        <f t="shared" si="0"/>
        <v>285438.65457100607</v>
      </c>
      <c r="D19" s="507">
        <f t="shared" si="1"/>
        <v>257659.19940249863</v>
      </c>
      <c r="E19" s="507">
        <f t="shared" si="2"/>
        <v>193163.67070698901</v>
      </c>
      <c r="F19" s="507">
        <f t="shared" si="3"/>
        <v>172480.33781354825</v>
      </c>
      <c r="G19" s="507">
        <f t="shared" si="4"/>
        <v>161503.29431228896</v>
      </c>
      <c r="H19" s="507">
        <f t="shared" si="5"/>
        <v>141922.25975418874</v>
      </c>
      <c r="I19" s="507">
        <f t="shared" si="6"/>
        <v>156118.59315379628</v>
      </c>
      <c r="J19" s="507">
        <f t="shared" si="7"/>
        <v>123072.41038640523</v>
      </c>
      <c r="K19" s="507">
        <f t="shared" si="8"/>
        <v>158248.61113990771</v>
      </c>
      <c r="L19" s="507">
        <f t="shared" si="9"/>
        <v>154167.52686122296</v>
      </c>
      <c r="M19" s="507">
        <f t="shared" si="10"/>
        <v>174439.06557274706</v>
      </c>
      <c r="N19" s="507">
        <f t="shared" si="11"/>
        <v>114838.67610788404</v>
      </c>
      <c r="O19" s="508">
        <f t="shared" si="12"/>
        <v>2093052.2997824829</v>
      </c>
      <c r="P19" s="509"/>
      <c r="Q19" s="509"/>
    </row>
    <row r="20" spans="1:20" x14ac:dyDescent="0.2">
      <c r="A20" s="505" t="s">
        <v>156</v>
      </c>
      <c r="B20" s="956">
        <f>ISR!C20</f>
        <v>1.4733176508862103</v>
      </c>
      <c r="C20" s="507">
        <f t="shared" si="0"/>
        <v>486399.0464124853</v>
      </c>
      <c r="D20" s="507">
        <f t="shared" si="1"/>
        <v>439061.7279118505</v>
      </c>
      <c r="E20" s="507">
        <f t="shared" si="2"/>
        <v>329158.73070738045</v>
      </c>
      <c r="F20" s="507">
        <f t="shared" si="3"/>
        <v>293913.49242274254</v>
      </c>
      <c r="G20" s="507">
        <f t="shared" si="4"/>
        <v>275208.16500496381</v>
      </c>
      <c r="H20" s="507">
        <f t="shared" si="5"/>
        <v>241841.28779926774</v>
      </c>
      <c r="I20" s="507">
        <f t="shared" si="6"/>
        <v>266032.41579663259</v>
      </c>
      <c r="J20" s="507">
        <f t="shared" si="7"/>
        <v>209720.37981892232</v>
      </c>
      <c r="K20" s="507">
        <f t="shared" si="8"/>
        <v>269662.05285067187</v>
      </c>
      <c r="L20" s="507">
        <f t="shared" si="9"/>
        <v>262707.71968768589</v>
      </c>
      <c r="M20" s="507">
        <f t="shared" si="10"/>
        <v>297251.24398161191</v>
      </c>
      <c r="N20" s="507">
        <f t="shared" si="11"/>
        <v>195689.7626009931</v>
      </c>
      <c r="O20" s="508">
        <f t="shared" si="12"/>
        <v>3566646.0249952083</v>
      </c>
      <c r="P20" s="509"/>
      <c r="Q20" s="509"/>
    </row>
    <row r="21" spans="1:20" x14ac:dyDescent="0.2">
      <c r="A21" s="505" t="s">
        <v>157</v>
      </c>
      <c r="B21" s="956">
        <f>ISR!C21</f>
        <v>23.280896411545378</v>
      </c>
      <c r="C21" s="507">
        <f t="shared" si="0"/>
        <v>7685922.8608251456</v>
      </c>
      <c r="D21" s="507">
        <f t="shared" si="1"/>
        <v>6937913.6261901595</v>
      </c>
      <c r="E21" s="507">
        <f t="shared" si="2"/>
        <v>5201261.4577344367</v>
      </c>
      <c r="F21" s="507">
        <f t="shared" si="3"/>
        <v>4644327.4245262351</v>
      </c>
      <c r="G21" s="507">
        <f t="shared" si="4"/>
        <v>4348751.7964901477</v>
      </c>
      <c r="H21" s="507">
        <f t="shared" si="5"/>
        <v>3821499.0269768597</v>
      </c>
      <c r="I21" s="507">
        <f t="shared" si="6"/>
        <v>4203759.5290799346</v>
      </c>
      <c r="J21" s="507">
        <f t="shared" si="7"/>
        <v>3313934.6664430709</v>
      </c>
      <c r="K21" s="507">
        <f t="shared" si="8"/>
        <v>4261113.8981230035</v>
      </c>
      <c r="L21" s="507">
        <f t="shared" si="9"/>
        <v>4151223.7397573148</v>
      </c>
      <c r="M21" s="507">
        <f t="shared" si="10"/>
        <v>4697069.5119116483</v>
      </c>
      <c r="N21" s="507">
        <f t="shared" si="11"/>
        <v>3092227.3205464305</v>
      </c>
      <c r="O21" s="508">
        <f t="shared" si="12"/>
        <v>56359004.858604394</v>
      </c>
      <c r="P21" s="509"/>
      <c r="Q21" s="509"/>
      <c r="T21" s="509"/>
    </row>
    <row r="22" spans="1:20" x14ac:dyDescent="0.2">
      <c r="A22" s="505" t="s">
        <v>158</v>
      </c>
      <c r="B22" s="956">
        <f>ISR!C22</f>
        <v>3.0061289328846379</v>
      </c>
      <c r="C22" s="507">
        <f t="shared" si="0"/>
        <v>992439.2377085553</v>
      </c>
      <c r="D22" s="507">
        <f t="shared" si="1"/>
        <v>895853.08558831306</v>
      </c>
      <c r="E22" s="507">
        <f t="shared" si="2"/>
        <v>671609.12875499239</v>
      </c>
      <c r="F22" s="507">
        <f t="shared" si="3"/>
        <v>599695.4240015517</v>
      </c>
      <c r="G22" s="507">
        <f t="shared" si="4"/>
        <v>561529.43453156773</v>
      </c>
      <c r="H22" s="507">
        <f t="shared" si="5"/>
        <v>493448.30151336367</v>
      </c>
      <c r="I22" s="507">
        <f t="shared" si="6"/>
        <v>542807.41273303283</v>
      </c>
      <c r="J22" s="507">
        <f t="shared" si="7"/>
        <v>427909.42008330667</v>
      </c>
      <c r="K22" s="507">
        <f t="shared" si="8"/>
        <v>550213.25420751353</v>
      </c>
      <c r="L22" s="507">
        <f t="shared" si="9"/>
        <v>536023.76688439865</v>
      </c>
      <c r="M22" s="507">
        <f t="shared" si="10"/>
        <v>606505.70793853083</v>
      </c>
      <c r="N22" s="507">
        <f t="shared" si="11"/>
        <v>399281.61918804416</v>
      </c>
      <c r="O22" s="508">
        <f t="shared" si="12"/>
        <v>7277315.7931331703</v>
      </c>
      <c r="P22" s="509"/>
      <c r="Q22" s="509"/>
      <c r="T22" s="509"/>
    </row>
    <row r="23" spans="1:20" ht="13.5" thickBot="1" x14ac:dyDescent="0.25">
      <c r="A23" s="505" t="s">
        <v>159</v>
      </c>
      <c r="B23" s="956">
        <f>ISR!C23</f>
        <v>6.1609294739357008</v>
      </c>
      <c r="C23" s="507">
        <f t="shared" si="0"/>
        <v>2033960.7139942856</v>
      </c>
      <c r="D23" s="507">
        <f t="shared" si="1"/>
        <v>1836011.6290890595</v>
      </c>
      <c r="E23" s="507">
        <f t="shared" si="2"/>
        <v>1376433.4693190944</v>
      </c>
      <c r="F23" s="507">
        <f t="shared" si="3"/>
        <v>1229049.4837725288</v>
      </c>
      <c r="G23" s="507">
        <f t="shared" si="4"/>
        <v>1150829.9613643833</v>
      </c>
      <c r="H23" s="507">
        <f t="shared" si="5"/>
        <v>1011300.6635879573</v>
      </c>
      <c r="I23" s="507">
        <f t="shared" si="6"/>
        <v>1112459.9983702889</v>
      </c>
      <c r="J23" s="507">
        <f t="shared" si="7"/>
        <v>876981.59900154476</v>
      </c>
      <c r="K23" s="507">
        <f t="shared" si="8"/>
        <v>1127637.9458363149</v>
      </c>
      <c r="L23" s="507">
        <f t="shared" si="9"/>
        <v>1098557.2135654178</v>
      </c>
      <c r="M23" s="507">
        <f t="shared" si="10"/>
        <v>1243006.8621717792</v>
      </c>
      <c r="N23" s="507">
        <f t="shared" si="11"/>
        <v>818310.17596968578</v>
      </c>
      <c r="O23" s="508">
        <f t="shared" si="12"/>
        <v>14914539.716042342</v>
      </c>
      <c r="P23" s="509"/>
      <c r="Q23" s="509"/>
      <c r="T23" s="509"/>
    </row>
    <row r="24" spans="1:20" ht="13.5" thickBot="1" x14ac:dyDescent="0.25">
      <c r="A24" s="510" t="s">
        <v>264</v>
      </c>
      <c r="B24" s="957">
        <f>SUM(B4:B23)</f>
        <v>100</v>
      </c>
      <c r="C24" s="512">
        <f>'X22.55 POE'!B110</f>
        <v>33013861.343472883</v>
      </c>
      <c r="D24" s="512">
        <f>'X22.55 POE'!C110</f>
        <v>29800886.974221207</v>
      </c>
      <c r="E24" s="512">
        <f>'X22.55 POE'!D110</f>
        <v>22341328.1249559</v>
      </c>
      <c r="F24" s="512">
        <f>'X22.55 POE'!E110</f>
        <v>19949091.918226298</v>
      </c>
      <c r="G24" s="512">
        <f>'X22.55 POE'!F110</f>
        <v>18679486.045621209</v>
      </c>
      <c r="H24" s="512">
        <f>'X22.55 POE'!G110</f>
        <v>16414741.766909437</v>
      </c>
      <c r="I24" s="512">
        <f>'X22.55 POE'!H110</f>
        <v>18056691.008664176</v>
      </c>
      <c r="J24" s="512">
        <f>'X22.55 POE'!I110</f>
        <v>14234566.435335524</v>
      </c>
      <c r="K24" s="512">
        <f>'X22.55 POE'!J110</f>
        <v>18303049.087104086</v>
      </c>
      <c r="L24" s="512">
        <f>'X22.55 POE'!K110</f>
        <v>17831030.49974766</v>
      </c>
      <c r="M24" s="512">
        <f>'X22.55 POE'!L110</f>
        <v>20175638.553085502</v>
      </c>
      <c r="N24" s="512">
        <f>'X22.55 POE'!M110</f>
        <v>13282251.962656148</v>
      </c>
      <c r="O24" s="512">
        <f>SUM(C24:N24)</f>
        <v>242082623.72000006</v>
      </c>
      <c r="P24" s="509"/>
      <c r="Q24" s="509"/>
      <c r="T24" s="509"/>
    </row>
    <row r="25" spans="1:20" x14ac:dyDescent="0.2">
      <c r="A25" s="514" t="s">
        <v>265</v>
      </c>
      <c r="B25" s="514"/>
    </row>
    <row r="27" spans="1:20" x14ac:dyDescent="0.2">
      <c r="N27" s="613"/>
      <c r="O27" s="613"/>
      <c r="Q27" s="613"/>
    </row>
    <row r="29" spans="1:20" x14ac:dyDescent="0.2">
      <c r="Q29" s="613"/>
    </row>
    <row r="30" spans="1:20" x14ac:dyDescent="0.2">
      <c r="J30" s="958"/>
    </row>
    <row r="31" spans="1:20" x14ac:dyDescent="0.2">
      <c r="C31" s="613"/>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R32"/>
  <sheetViews>
    <sheetView workbookViewId="0">
      <selection sqref="A1:O1"/>
    </sheetView>
  </sheetViews>
  <sheetFormatPr baseColWidth="10" defaultRowHeight="15" x14ac:dyDescent="0.25"/>
  <cols>
    <col min="1" max="1" width="16.5703125" customWidth="1"/>
    <col min="2" max="2" width="9.28515625" hidden="1" customWidth="1"/>
    <col min="3" max="10" width="9.7109375" customWidth="1"/>
    <col min="11" max="11" width="10.42578125" bestFit="1" customWidth="1"/>
    <col min="12" max="14" width="9.7109375" customWidth="1"/>
    <col min="15" max="15" width="11.42578125" bestFit="1" customWidth="1"/>
    <col min="16" max="16" width="12.7109375" bestFit="1" customWidth="1"/>
  </cols>
  <sheetData>
    <row r="1" spans="1:17" s="500" customFormat="1" ht="12.75" x14ac:dyDescent="0.2">
      <c r="A1" s="1193" t="s">
        <v>438</v>
      </c>
      <c r="B1" s="1193"/>
      <c r="C1" s="1193"/>
      <c r="D1" s="1193"/>
      <c r="E1" s="1193"/>
      <c r="F1" s="1193"/>
      <c r="G1" s="1193"/>
      <c r="H1" s="1193"/>
      <c r="I1" s="1193"/>
      <c r="J1" s="1193"/>
      <c r="K1" s="1193"/>
      <c r="L1" s="1193"/>
      <c r="M1" s="1193"/>
      <c r="N1" s="1193"/>
      <c r="O1" s="1193"/>
    </row>
    <row r="2" spans="1:17" s="500" customFormat="1" ht="13.5" thickBot="1" x14ac:dyDescent="0.25">
      <c r="O2" s="965" t="s">
        <v>558</v>
      </c>
    </row>
    <row r="3" spans="1:17" s="500" customFormat="1" ht="23.25" customHeight="1" thickBot="1" x14ac:dyDescent="0.25">
      <c r="A3" s="777" t="s">
        <v>288</v>
      </c>
      <c r="B3" s="778"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7" s="500" customFormat="1" ht="12.75" customHeight="1" x14ac:dyDescent="0.2">
      <c r="A4" s="505" t="s">
        <v>258</v>
      </c>
      <c r="B4" s="506">
        <f>'CUADRO 6 -FGP'!U8</f>
        <v>3.5382379979592633</v>
      </c>
      <c r="C4" s="507">
        <f>$C$24*B4/100</f>
        <v>9611.7648298363802</v>
      </c>
      <c r="D4" s="507">
        <f>$D$24*B4/100</f>
        <v>9611.7648298363802</v>
      </c>
      <c r="E4" s="507">
        <f>$E$24*B4/100</f>
        <v>9611.7648298363802</v>
      </c>
      <c r="F4" s="507">
        <f>$F$24*B4/100</f>
        <v>9611.7648298363802</v>
      </c>
      <c r="G4" s="507">
        <f>$G$24*B4/100</f>
        <v>9611.7648298363802</v>
      </c>
      <c r="H4" s="507">
        <f>$H$24*B4/100</f>
        <v>9611.7648298363802</v>
      </c>
      <c r="I4" s="507">
        <f>$I$24*B4/100</f>
        <v>9611.7648298363802</v>
      </c>
      <c r="J4" s="507">
        <f>$J$24*B4/100</f>
        <v>9611.7648298363802</v>
      </c>
      <c r="K4" s="507">
        <f>$K$24*B4/100</f>
        <v>9611.7648298363802</v>
      </c>
      <c r="L4" s="507">
        <f>$L$24*B4/100</f>
        <v>9611.7648298363802</v>
      </c>
      <c r="M4" s="507">
        <f>$M$24*B4/100</f>
        <v>9611.7648298363802</v>
      </c>
      <c r="N4" s="507">
        <f>$N$24*B4/100</f>
        <v>9611.7648298363802</v>
      </c>
      <c r="O4" s="508">
        <f>SUM(C4:N4)</f>
        <v>115341.17795803655</v>
      </c>
      <c r="P4" s="509"/>
      <c r="Q4" s="509"/>
    </row>
    <row r="5" spans="1:17" s="500" customFormat="1" ht="12.75" customHeight="1" x14ac:dyDescent="0.2">
      <c r="A5" s="505" t="s">
        <v>141</v>
      </c>
      <c r="B5" s="506">
        <f>'CUADRO 6 -FGP'!U9</f>
        <v>2.8741138571776528</v>
      </c>
      <c r="C5" s="507">
        <f t="shared" ref="C5:C23" si="0">$C$24*B5/100</f>
        <v>7807.6450779452643</v>
      </c>
      <c r="D5" s="507">
        <f t="shared" ref="D5:D23" si="1">$D$24*B5/100</f>
        <v>7807.6450779452643</v>
      </c>
      <c r="E5" s="507">
        <f t="shared" ref="E5:E23" si="2">$E$24*B5/100</f>
        <v>7807.6450779452643</v>
      </c>
      <c r="F5" s="507">
        <f t="shared" ref="F5:F23" si="3">$F$24*B5/100</f>
        <v>7807.6450779452643</v>
      </c>
      <c r="G5" s="507">
        <f t="shared" ref="G5:G23" si="4">$G$24*B5/100</f>
        <v>7807.6450779452643</v>
      </c>
      <c r="H5" s="507">
        <f t="shared" ref="H5:H23" si="5">$H$24*B5/100</f>
        <v>7807.6450779452643</v>
      </c>
      <c r="I5" s="507">
        <f t="shared" ref="I5:I23" si="6">$I$24*B5/100</f>
        <v>7807.6450779452643</v>
      </c>
      <c r="J5" s="507">
        <f t="shared" ref="J5:J23" si="7">$J$24*B5/100</f>
        <v>7807.6450779452643</v>
      </c>
      <c r="K5" s="507">
        <f t="shared" ref="K5:K23" si="8">$K$24*B5/100</f>
        <v>7807.6450779452643</v>
      </c>
      <c r="L5" s="507">
        <f t="shared" ref="L5:L23" si="9">$L$24*B5/100</f>
        <v>7807.6450779452643</v>
      </c>
      <c r="M5" s="507">
        <f t="shared" ref="M5:M23" si="10">$M$24*B5/100</f>
        <v>7807.6450779452643</v>
      </c>
      <c r="N5" s="507">
        <f t="shared" ref="N5:N23" si="11">$N$24*B5/100</f>
        <v>7807.6450779452643</v>
      </c>
      <c r="O5" s="508">
        <f t="shared" ref="O5:O23" si="12">SUM(C5:N5)</f>
        <v>93691.740935343143</v>
      </c>
      <c r="P5" s="509"/>
    </row>
    <row r="6" spans="1:17" s="500" customFormat="1" ht="12.75" customHeight="1" x14ac:dyDescent="0.2">
      <c r="A6" s="505" t="s">
        <v>142</v>
      </c>
      <c r="B6" s="506">
        <f>'CUADRO 6 -FGP'!U10</f>
        <v>2.6500476658644221</v>
      </c>
      <c r="C6" s="507">
        <f t="shared" si="0"/>
        <v>7198.9603205993571</v>
      </c>
      <c r="D6" s="507">
        <f t="shared" si="1"/>
        <v>7198.9603205993571</v>
      </c>
      <c r="E6" s="507">
        <f t="shared" si="2"/>
        <v>7198.9603205993571</v>
      </c>
      <c r="F6" s="507">
        <f t="shared" si="3"/>
        <v>7198.9603205993571</v>
      </c>
      <c r="G6" s="507">
        <f t="shared" si="4"/>
        <v>7198.9603205993571</v>
      </c>
      <c r="H6" s="507">
        <f t="shared" si="5"/>
        <v>7198.9603205993571</v>
      </c>
      <c r="I6" s="507">
        <f t="shared" si="6"/>
        <v>7198.9603205993571</v>
      </c>
      <c r="J6" s="507">
        <f t="shared" si="7"/>
        <v>7198.9603205993571</v>
      </c>
      <c r="K6" s="507">
        <f t="shared" si="8"/>
        <v>7198.9603205993571</v>
      </c>
      <c r="L6" s="507">
        <f t="shared" si="9"/>
        <v>7198.9603205993571</v>
      </c>
      <c r="M6" s="507">
        <f t="shared" si="10"/>
        <v>7198.9603205993571</v>
      </c>
      <c r="N6" s="507">
        <f t="shared" si="11"/>
        <v>7198.9603205993571</v>
      </c>
      <c r="O6" s="508">
        <f t="shared" si="12"/>
        <v>86387.523847192293</v>
      </c>
      <c r="P6" s="509"/>
    </row>
    <row r="7" spans="1:17" s="500" customFormat="1" ht="12.75" customHeight="1" x14ac:dyDescent="0.2">
      <c r="A7" s="312" t="s">
        <v>349</v>
      </c>
      <c r="B7" s="506">
        <f>'CUADRO 6 -FGP'!U11</f>
        <v>10.821341685981746</v>
      </c>
      <c r="C7" s="507">
        <f t="shared" si="0"/>
        <v>29396.606867302995</v>
      </c>
      <c r="D7" s="507">
        <f t="shared" si="1"/>
        <v>29396.606867302995</v>
      </c>
      <c r="E7" s="507">
        <f t="shared" si="2"/>
        <v>29396.606867302995</v>
      </c>
      <c r="F7" s="507">
        <f t="shared" si="3"/>
        <v>29396.606867302995</v>
      </c>
      <c r="G7" s="507">
        <f t="shared" si="4"/>
        <v>29396.606867302995</v>
      </c>
      <c r="H7" s="507">
        <f t="shared" si="5"/>
        <v>29396.606867302995</v>
      </c>
      <c r="I7" s="507">
        <f t="shared" si="6"/>
        <v>29396.606867302995</v>
      </c>
      <c r="J7" s="507">
        <f t="shared" si="7"/>
        <v>29396.606867302995</v>
      </c>
      <c r="K7" s="507">
        <f t="shared" si="8"/>
        <v>29396.606867302995</v>
      </c>
      <c r="L7" s="507">
        <f t="shared" si="9"/>
        <v>29396.606867302995</v>
      </c>
      <c r="M7" s="507">
        <f t="shared" si="10"/>
        <v>29396.606867302995</v>
      </c>
      <c r="N7" s="507">
        <f t="shared" si="11"/>
        <v>29396.606867302995</v>
      </c>
      <c r="O7" s="508">
        <f t="shared" si="12"/>
        <v>352759.28240763606</v>
      </c>
      <c r="P7" s="509"/>
    </row>
    <row r="8" spans="1:17" s="500" customFormat="1" ht="12.75" customHeight="1" x14ac:dyDescent="0.2">
      <c r="A8" s="505" t="s">
        <v>144</v>
      </c>
      <c r="B8" s="506">
        <f>'CUADRO 6 -FGP'!U12</f>
        <v>5.6495036228011593</v>
      </c>
      <c r="C8" s="507">
        <f t="shared" si="0"/>
        <v>15347.102218390282</v>
      </c>
      <c r="D8" s="507">
        <f t="shared" si="1"/>
        <v>15347.102218390282</v>
      </c>
      <c r="E8" s="507">
        <f t="shared" si="2"/>
        <v>15347.102218390282</v>
      </c>
      <c r="F8" s="507">
        <f t="shared" si="3"/>
        <v>15347.102218390282</v>
      </c>
      <c r="G8" s="507">
        <f t="shared" si="4"/>
        <v>15347.102218390282</v>
      </c>
      <c r="H8" s="507">
        <f t="shared" si="5"/>
        <v>15347.102218390282</v>
      </c>
      <c r="I8" s="507">
        <f t="shared" si="6"/>
        <v>15347.102218390282</v>
      </c>
      <c r="J8" s="507">
        <f t="shared" si="7"/>
        <v>15347.102218390282</v>
      </c>
      <c r="K8" s="507">
        <f t="shared" si="8"/>
        <v>15347.102218390282</v>
      </c>
      <c r="L8" s="507">
        <f t="shared" si="9"/>
        <v>15347.102218390282</v>
      </c>
      <c r="M8" s="507">
        <f t="shared" si="10"/>
        <v>15347.102218390282</v>
      </c>
      <c r="N8" s="507">
        <f t="shared" si="11"/>
        <v>15347.102218390282</v>
      </c>
      <c r="O8" s="508">
        <f t="shared" si="12"/>
        <v>184165.22662068333</v>
      </c>
      <c r="P8" s="509"/>
    </row>
    <row r="9" spans="1:17" s="500" customFormat="1" ht="12.75" customHeight="1" x14ac:dyDescent="0.2">
      <c r="A9" s="505" t="s">
        <v>260</v>
      </c>
      <c r="B9" s="506">
        <f>'CUADRO 6 -FGP'!U13</f>
        <v>5.2511692356964428</v>
      </c>
      <c r="C9" s="507">
        <f t="shared" si="0"/>
        <v>14265.010947340736</v>
      </c>
      <c r="D9" s="507">
        <f t="shared" si="1"/>
        <v>14265.010947340736</v>
      </c>
      <c r="E9" s="507">
        <f t="shared" si="2"/>
        <v>14265.010947340736</v>
      </c>
      <c r="F9" s="507">
        <f t="shared" si="3"/>
        <v>14265.010947340736</v>
      </c>
      <c r="G9" s="507">
        <f t="shared" si="4"/>
        <v>14265.010947340736</v>
      </c>
      <c r="H9" s="507">
        <f t="shared" si="5"/>
        <v>14265.010947340736</v>
      </c>
      <c r="I9" s="507">
        <f t="shared" si="6"/>
        <v>14265.010947340736</v>
      </c>
      <c r="J9" s="507">
        <f t="shared" si="7"/>
        <v>14265.010947340736</v>
      </c>
      <c r="K9" s="507">
        <f t="shared" si="8"/>
        <v>14265.010947340736</v>
      </c>
      <c r="L9" s="507">
        <f t="shared" si="9"/>
        <v>14265.010947340736</v>
      </c>
      <c r="M9" s="507">
        <f t="shared" si="10"/>
        <v>14265.010947340736</v>
      </c>
      <c r="N9" s="507">
        <f t="shared" si="11"/>
        <v>14265.010947340736</v>
      </c>
      <c r="O9" s="508">
        <f t="shared" si="12"/>
        <v>171180.13136808883</v>
      </c>
      <c r="P9" s="509"/>
    </row>
    <row r="10" spans="1:17" s="500" customFormat="1" ht="12.75" customHeight="1" x14ac:dyDescent="0.2">
      <c r="A10" s="505" t="s">
        <v>146</v>
      </c>
      <c r="B10" s="506">
        <f>'CUADRO 6 -FGP'!U14</f>
        <v>2.6896373379327465</v>
      </c>
      <c r="C10" s="507">
        <f t="shared" si="0"/>
        <v>7306.5072458854884</v>
      </c>
      <c r="D10" s="507">
        <f t="shared" si="1"/>
        <v>7306.5072458854884</v>
      </c>
      <c r="E10" s="507">
        <f t="shared" si="2"/>
        <v>7306.5072458854884</v>
      </c>
      <c r="F10" s="507">
        <f t="shared" si="3"/>
        <v>7306.5072458854884</v>
      </c>
      <c r="G10" s="507">
        <f t="shared" si="4"/>
        <v>7306.5072458854884</v>
      </c>
      <c r="H10" s="507">
        <f t="shared" si="5"/>
        <v>7306.5072458854884</v>
      </c>
      <c r="I10" s="507">
        <f t="shared" si="6"/>
        <v>7306.5072458854884</v>
      </c>
      <c r="J10" s="507">
        <f t="shared" si="7"/>
        <v>7306.5072458854884</v>
      </c>
      <c r="K10" s="507">
        <f t="shared" si="8"/>
        <v>7306.5072458854884</v>
      </c>
      <c r="L10" s="507">
        <f t="shared" si="9"/>
        <v>7306.5072458854884</v>
      </c>
      <c r="M10" s="507">
        <f t="shared" si="10"/>
        <v>7306.5072458854884</v>
      </c>
      <c r="N10" s="507">
        <f t="shared" si="11"/>
        <v>7306.5072458854884</v>
      </c>
      <c r="O10" s="508">
        <f t="shared" si="12"/>
        <v>87678.086950625831</v>
      </c>
      <c r="P10" s="509"/>
    </row>
    <row r="11" spans="1:17" s="500" customFormat="1" ht="12.75" customHeight="1" x14ac:dyDescent="0.2">
      <c r="A11" s="505" t="s">
        <v>147</v>
      </c>
      <c r="B11" s="506">
        <f>'CUADRO 6 -FGP'!U15</f>
        <v>3.2966407951075851</v>
      </c>
      <c r="C11" s="507">
        <f t="shared" si="0"/>
        <v>8955.4563795015092</v>
      </c>
      <c r="D11" s="507">
        <f t="shared" si="1"/>
        <v>8955.4563795015092</v>
      </c>
      <c r="E11" s="507">
        <f t="shared" si="2"/>
        <v>8955.4563795015092</v>
      </c>
      <c r="F11" s="507">
        <f t="shared" si="3"/>
        <v>8955.4563795015092</v>
      </c>
      <c r="G11" s="507">
        <f t="shared" si="4"/>
        <v>8955.4563795015092</v>
      </c>
      <c r="H11" s="507">
        <f t="shared" si="5"/>
        <v>8955.4563795015092</v>
      </c>
      <c r="I11" s="507">
        <f t="shared" si="6"/>
        <v>8955.4563795015092</v>
      </c>
      <c r="J11" s="507">
        <f t="shared" si="7"/>
        <v>8955.4563795015092</v>
      </c>
      <c r="K11" s="507">
        <f t="shared" si="8"/>
        <v>8955.4563795015092</v>
      </c>
      <c r="L11" s="507">
        <f t="shared" si="9"/>
        <v>8955.4563795015092</v>
      </c>
      <c r="M11" s="507">
        <f t="shared" si="10"/>
        <v>8955.4563795015092</v>
      </c>
      <c r="N11" s="507">
        <f t="shared" si="11"/>
        <v>8955.4563795015092</v>
      </c>
      <c r="O11" s="508">
        <f t="shared" si="12"/>
        <v>107465.47655401814</v>
      </c>
      <c r="P11" s="509"/>
    </row>
    <row r="12" spans="1:17" s="500" customFormat="1" ht="12.75" customHeight="1" x14ac:dyDescent="0.2">
      <c r="A12" s="505" t="s">
        <v>148</v>
      </c>
      <c r="B12" s="506">
        <f>'CUADRO 6 -FGP'!U16</f>
        <v>2.9179725284992895</v>
      </c>
      <c r="C12" s="507">
        <f t="shared" si="0"/>
        <v>7926.7889101961755</v>
      </c>
      <c r="D12" s="507">
        <f t="shared" si="1"/>
        <v>7926.7889101961755</v>
      </c>
      <c r="E12" s="507">
        <f t="shared" si="2"/>
        <v>7926.7889101961755</v>
      </c>
      <c r="F12" s="507">
        <f t="shared" si="3"/>
        <v>7926.7889101961755</v>
      </c>
      <c r="G12" s="507">
        <f t="shared" si="4"/>
        <v>7926.7889101961755</v>
      </c>
      <c r="H12" s="507">
        <f t="shared" si="5"/>
        <v>7926.7889101961755</v>
      </c>
      <c r="I12" s="507">
        <f t="shared" si="6"/>
        <v>7926.7889101961755</v>
      </c>
      <c r="J12" s="507">
        <f t="shared" si="7"/>
        <v>7926.7889101961755</v>
      </c>
      <c r="K12" s="507">
        <f t="shared" si="8"/>
        <v>7926.7889101961755</v>
      </c>
      <c r="L12" s="507">
        <f t="shared" si="9"/>
        <v>7926.7889101961755</v>
      </c>
      <c r="M12" s="507">
        <f t="shared" si="10"/>
        <v>7926.7889101961755</v>
      </c>
      <c r="N12" s="507">
        <f t="shared" si="11"/>
        <v>7926.7889101961755</v>
      </c>
      <c r="O12" s="508">
        <f t="shared" si="12"/>
        <v>95121.466922354113</v>
      </c>
      <c r="P12" s="509"/>
    </row>
    <row r="13" spans="1:17" s="500" customFormat="1" ht="12.75" customHeight="1" x14ac:dyDescent="0.2">
      <c r="A13" s="505" t="s">
        <v>149</v>
      </c>
      <c r="B13" s="506">
        <f>'CUADRO 6 -FGP'!U17</f>
        <v>2.7163014877407865</v>
      </c>
      <c r="C13" s="507">
        <f t="shared" si="0"/>
        <v>7378.9414737385123</v>
      </c>
      <c r="D13" s="507">
        <f t="shared" si="1"/>
        <v>7378.9414737385123</v>
      </c>
      <c r="E13" s="507">
        <f t="shared" si="2"/>
        <v>7378.9414737385123</v>
      </c>
      <c r="F13" s="507">
        <f t="shared" si="3"/>
        <v>7378.9414737385123</v>
      </c>
      <c r="G13" s="507">
        <f t="shared" si="4"/>
        <v>7378.9414737385123</v>
      </c>
      <c r="H13" s="507">
        <f t="shared" si="5"/>
        <v>7378.9414737385123</v>
      </c>
      <c r="I13" s="507">
        <f t="shared" si="6"/>
        <v>7378.9414737385123</v>
      </c>
      <c r="J13" s="507">
        <f t="shared" si="7"/>
        <v>7378.9414737385123</v>
      </c>
      <c r="K13" s="507">
        <f t="shared" si="8"/>
        <v>7378.9414737385123</v>
      </c>
      <c r="L13" s="507">
        <f t="shared" si="9"/>
        <v>7378.9414737385123</v>
      </c>
      <c r="M13" s="507">
        <f t="shared" si="10"/>
        <v>7378.9414737385123</v>
      </c>
      <c r="N13" s="507">
        <f t="shared" si="11"/>
        <v>7378.9414737385123</v>
      </c>
      <c r="O13" s="508">
        <f t="shared" si="12"/>
        <v>88547.297684862118</v>
      </c>
      <c r="P13" s="509"/>
    </row>
    <row r="14" spans="1:17" s="500" customFormat="1" ht="12.75" customHeight="1" x14ac:dyDescent="0.25">
      <c r="A14" s="505" t="s">
        <v>150</v>
      </c>
      <c r="B14" s="506">
        <f>'CUADRO 6 -FGP'!U18</f>
        <v>3.687422971777889</v>
      </c>
      <c r="C14" s="507">
        <f t="shared" si="0"/>
        <v>10017.03176928957</v>
      </c>
      <c r="D14" s="507">
        <f t="shared" si="1"/>
        <v>10017.03176928957</v>
      </c>
      <c r="E14" s="507">
        <f t="shared" si="2"/>
        <v>10017.03176928957</v>
      </c>
      <c r="F14" s="507">
        <f t="shared" si="3"/>
        <v>10017.03176928957</v>
      </c>
      <c r="G14" s="507">
        <f t="shared" si="4"/>
        <v>10017.03176928957</v>
      </c>
      <c r="H14" s="507">
        <f t="shared" si="5"/>
        <v>10017.03176928957</v>
      </c>
      <c r="I14" s="507">
        <f t="shared" si="6"/>
        <v>10017.03176928957</v>
      </c>
      <c r="J14" s="507">
        <f t="shared" si="7"/>
        <v>10017.03176928957</v>
      </c>
      <c r="K14" s="507">
        <f t="shared" si="8"/>
        <v>10017.03176928957</v>
      </c>
      <c r="L14" s="507">
        <f t="shared" si="9"/>
        <v>10017.03176928957</v>
      </c>
      <c r="M14" s="507">
        <f t="shared" si="10"/>
        <v>10017.03176928957</v>
      </c>
      <c r="N14" s="507">
        <f t="shared" si="11"/>
        <v>10017.03176928957</v>
      </c>
      <c r="O14" s="508">
        <f t="shared" si="12"/>
        <v>120204.38123147486</v>
      </c>
      <c r="P14" s="509"/>
      <c r="Q14"/>
    </row>
    <row r="15" spans="1:17" s="500" customFormat="1" ht="12.75" customHeight="1" x14ac:dyDescent="0.25">
      <c r="A15" s="505" t="s">
        <v>151</v>
      </c>
      <c r="B15" s="506">
        <f>'CUADRO 6 -FGP'!U19</f>
        <v>3.0199463386419172</v>
      </c>
      <c r="C15" s="507">
        <f t="shared" si="0"/>
        <v>8203.8048380276668</v>
      </c>
      <c r="D15" s="507">
        <f t="shared" si="1"/>
        <v>8203.8048380276668</v>
      </c>
      <c r="E15" s="507">
        <f t="shared" si="2"/>
        <v>8203.8048380276668</v>
      </c>
      <c r="F15" s="507">
        <f t="shared" si="3"/>
        <v>8203.8048380276668</v>
      </c>
      <c r="G15" s="507">
        <f t="shared" si="4"/>
        <v>8203.8048380276668</v>
      </c>
      <c r="H15" s="507">
        <f t="shared" si="5"/>
        <v>8203.8048380276668</v>
      </c>
      <c r="I15" s="507">
        <f t="shared" si="6"/>
        <v>8203.8048380276668</v>
      </c>
      <c r="J15" s="507">
        <f t="shared" si="7"/>
        <v>8203.8048380276668</v>
      </c>
      <c r="K15" s="507">
        <f t="shared" si="8"/>
        <v>8203.8048380276668</v>
      </c>
      <c r="L15" s="507">
        <f t="shared" si="9"/>
        <v>8203.8048380276668</v>
      </c>
      <c r="M15" s="507">
        <f t="shared" si="10"/>
        <v>8203.8048380276668</v>
      </c>
      <c r="N15" s="507">
        <f t="shared" si="11"/>
        <v>8203.8048380276668</v>
      </c>
      <c r="O15" s="508">
        <f t="shared" si="12"/>
        <v>98445.658056331973</v>
      </c>
      <c r="P15" s="509"/>
      <c r="Q15"/>
    </row>
    <row r="16" spans="1:17" s="500" customFormat="1" ht="12.75" customHeight="1" x14ac:dyDescent="0.25">
      <c r="A16" s="505" t="s">
        <v>152</v>
      </c>
      <c r="B16" s="506">
        <f>'CUADRO 6 -FGP'!U20</f>
        <v>3.8781030658324118</v>
      </c>
      <c r="C16" s="507">
        <f t="shared" si="0"/>
        <v>10535.021860074936</v>
      </c>
      <c r="D16" s="507">
        <f t="shared" si="1"/>
        <v>10535.021860074936</v>
      </c>
      <c r="E16" s="507">
        <f t="shared" si="2"/>
        <v>10535.021860074936</v>
      </c>
      <c r="F16" s="507">
        <f t="shared" si="3"/>
        <v>10535.021860074936</v>
      </c>
      <c r="G16" s="507">
        <f t="shared" si="4"/>
        <v>10535.021860074936</v>
      </c>
      <c r="H16" s="507">
        <f t="shared" si="5"/>
        <v>10535.021860074936</v>
      </c>
      <c r="I16" s="507">
        <f t="shared" si="6"/>
        <v>10535.021860074936</v>
      </c>
      <c r="J16" s="507">
        <f t="shared" si="7"/>
        <v>10535.021860074936</v>
      </c>
      <c r="K16" s="507">
        <f t="shared" si="8"/>
        <v>10535.021860074936</v>
      </c>
      <c r="L16" s="507">
        <f t="shared" si="9"/>
        <v>10535.021860074936</v>
      </c>
      <c r="M16" s="507">
        <f t="shared" si="10"/>
        <v>10535.021860074936</v>
      </c>
      <c r="N16" s="507">
        <f t="shared" si="11"/>
        <v>10535.021860074936</v>
      </c>
      <c r="O16" s="508">
        <f t="shared" si="12"/>
        <v>126420.26232089923</v>
      </c>
      <c r="P16" s="509"/>
      <c r="Q16"/>
    </row>
    <row r="17" spans="1:18" s="500" customFormat="1" ht="12.75" customHeight="1" x14ac:dyDescent="0.25">
      <c r="A17" s="505" t="s">
        <v>261</v>
      </c>
      <c r="B17" s="506">
        <f>'CUADRO 6 -FGP'!U21</f>
        <v>2.6080136409914254</v>
      </c>
      <c r="C17" s="507">
        <f t="shared" si="0"/>
        <v>7084.7732132979936</v>
      </c>
      <c r="D17" s="507">
        <f t="shared" si="1"/>
        <v>7084.7732132979936</v>
      </c>
      <c r="E17" s="507">
        <f t="shared" si="2"/>
        <v>7084.7732132979936</v>
      </c>
      <c r="F17" s="507">
        <f t="shared" si="3"/>
        <v>7084.7732132979936</v>
      </c>
      <c r="G17" s="507">
        <f t="shared" si="4"/>
        <v>7084.7732132979936</v>
      </c>
      <c r="H17" s="507">
        <f t="shared" si="5"/>
        <v>7084.7732132979936</v>
      </c>
      <c r="I17" s="507">
        <f t="shared" si="6"/>
        <v>7084.7732132979936</v>
      </c>
      <c r="J17" s="507">
        <f t="shared" si="7"/>
        <v>7084.7732132979936</v>
      </c>
      <c r="K17" s="507">
        <f t="shared" si="8"/>
        <v>7084.7732132979936</v>
      </c>
      <c r="L17" s="507">
        <f t="shared" si="9"/>
        <v>7084.7732132979936</v>
      </c>
      <c r="M17" s="507">
        <f t="shared" si="10"/>
        <v>7084.7732132979936</v>
      </c>
      <c r="N17" s="507">
        <f t="shared" si="11"/>
        <v>7084.7732132979936</v>
      </c>
      <c r="O17" s="508">
        <f t="shared" si="12"/>
        <v>85017.278559575905</v>
      </c>
      <c r="P17" s="509"/>
      <c r="Q17"/>
    </row>
    <row r="18" spans="1:18" s="500" customFormat="1" ht="12.75" customHeight="1" x14ac:dyDescent="0.25">
      <c r="A18" s="505" t="s">
        <v>262</v>
      </c>
      <c r="B18" s="506">
        <f>'CUADRO 6 -FGP'!U22</f>
        <v>3.0247319555730168</v>
      </c>
      <c r="C18" s="507">
        <f t="shared" si="0"/>
        <v>8216.8051575465743</v>
      </c>
      <c r="D18" s="507">
        <f t="shared" si="1"/>
        <v>8216.8051575465743</v>
      </c>
      <c r="E18" s="507">
        <f t="shared" si="2"/>
        <v>8216.8051575465743</v>
      </c>
      <c r="F18" s="507">
        <f t="shared" si="3"/>
        <v>8216.8051575465743</v>
      </c>
      <c r="G18" s="507">
        <f t="shared" si="4"/>
        <v>8216.8051575465743</v>
      </c>
      <c r="H18" s="507">
        <f t="shared" si="5"/>
        <v>8216.8051575465743</v>
      </c>
      <c r="I18" s="507">
        <f t="shared" si="6"/>
        <v>8216.8051575465743</v>
      </c>
      <c r="J18" s="507">
        <f t="shared" si="7"/>
        <v>8216.8051575465743</v>
      </c>
      <c r="K18" s="507">
        <f t="shared" si="8"/>
        <v>8216.8051575465743</v>
      </c>
      <c r="L18" s="507">
        <f t="shared" si="9"/>
        <v>8216.8051575465743</v>
      </c>
      <c r="M18" s="507">
        <f t="shared" si="10"/>
        <v>8216.8051575465743</v>
      </c>
      <c r="N18" s="507">
        <f t="shared" si="11"/>
        <v>8216.8051575465743</v>
      </c>
      <c r="O18" s="508">
        <f t="shared" si="12"/>
        <v>98601.661890558913</v>
      </c>
      <c r="P18" s="509"/>
      <c r="Q18"/>
    </row>
    <row r="19" spans="1:18" s="500" customFormat="1" ht="12.75" customHeight="1" x14ac:dyDescent="0.25">
      <c r="A19" s="505" t="s">
        <v>263</v>
      </c>
      <c r="B19" s="506">
        <f>'CUADRO 6 -FGP'!U23</f>
        <v>7.0312960513371792</v>
      </c>
      <c r="C19" s="507">
        <f t="shared" si="0"/>
        <v>19100.796535843496</v>
      </c>
      <c r="D19" s="507">
        <f t="shared" si="1"/>
        <v>19100.796535843496</v>
      </c>
      <c r="E19" s="507">
        <f t="shared" si="2"/>
        <v>19100.796535843496</v>
      </c>
      <c r="F19" s="507">
        <f t="shared" si="3"/>
        <v>19100.796535843496</v>
      </c>
      <c r="G19" s="507">
        <f t="shared" si="4"/>
        <v>19100.796535843496</v>
      </c>
      <c r="H19" s="507">
        <f t="shared" si="5"/>
        <v>19100.796535843496</v>
      </c>
      <c r="I19" s="507">
        <f t="shared" si="6"/>
        <v>19100.796535843496</v>
      </c>
      <c r="J19" s="507">
        <f t="shared" si="7"/>
        <v>19100.796535843496</v>
      </c>
      <c r="K19" s="507">
        <f t="shared" si="8"/>
        <v>19100.796535843496</v>
      </c>
      <c r="L19" s="507">
        <f t="shared" si="9"/>
        <v>19100.796535843496</v>
      </c>
      <c r="M19" s="507">
        <f t="shared" si="10"/>
        <v>19100.796535843496</v>
      </c>
      <c r="N19" s="507">
        <f t="shared" si="11"/>
        <v>19100.796535843496</v>
      </c>
      <c r="O19" s="508">
        <f t="shared" si="12"/>
        <v>229209.55843012189</v>
      </c>
      <c r="P19" s="509"/>
      <c r="Q19"/>
    </row>
    <row r="20" spans="1:18" s="500" customFormat="1" ht="12.75" customHeight="1" x14ac:dyDescent="0.25">
      <c r="A20" s="505" t="s">
        <v>156</v>
      </c>
      <c r="B20" s="506">
        <f>'CUADRO 6 -FGP'!U24</f>
        <v>3.4747933905881783</v>
      </c>
      <c r="C20" s="507">
        <f t="shared" si="0"/>
        <v>9439.415020093822</v>
      </c>
      <c r="D20" s="507">
        <f t="shared" si="1"/>
        <v>9439.415020093822</v>
      </c>
      <c r="E20" s="507">
        <f t="shared" si="2"/>
        <v>9439.415020093822</v>
      </c>
      <c r="F20" s="507">
        <f t="shared" si="3"/>
        <v>9439.415020093822</v>
      </c>
      <c r="G20" s="507">
        <f t="shared" si="4"/>
        <v>9439.415020093822</v>
      </c>
      <c r="H20" s="507">
        <f t="shared" si="5"/>
        <v>9439.415020093822</v>
      </c>
      <c r="I20" s="507">
        <f t="shared" si="6"/>
        <v>9439.415020093822</v>
      </c>
      <c r="J20" s="507">
        <f t="shared" si="7"/>
        <v>9439.415020093822</v>
      </c>
      <c r="K20" s="507">
        <f t="shared" si="8"/>
        <v>9439.415020093822</v>
      </c>
      <c r="L20" s="507">
        <f t="shared" si="9"/>
        <v>9439.415020093822</v>
      </c>
      <c r="M20" s="507">
        <f t="shared" si="10"/>
        <v>9439.415020093822</v>
      </c>
      <c r="N20" s="507">
        <f t="shared" si="11"/>
        <v>9439.415020093822</v>
      </c>
      <c r="O20" s="508">
        <f t="shared" si="12"/>
        <v>113272.98024112584</v>
      </c>
      <c r="P20" s="509"/>
      <c r="Q20"/>
    </row>
    <row r="21" spans="1:18" s="500" customFormat="1" ht="12.75" customHeight="1" x14ac:dyDescent="0.25">
      <c r="A21" s="505" t="s">
        <v>157</v>
      </c>
      <c r="B21" s="506">
        <f>'CUADRO 6 -FGP'!U25</f>
        <v>22.15163445687357</v>
      </c>
      <c r="C21" s="507">
        <f t="shared" si="0"/>
        <v>60175.799682998164</v>
      </c>
      <c r="D21" s="507">
        <f t="shared" si="1"/>
        <v>60175.799682998164</v>
      </c>
      <c r="E21" s="507">
        <f t="shared" si="2"/>
        <v>60175.799682998164</v>
      </c>
      <c r="F21" s="507">
        <f t="shared" si="3"/>
        <v>60175.799682998164</v>
      </c>
      <c r="G21" s="507">
        <f t="shared" si="4"/>
        <v>60175.799682998164</v>
      </c>
      <c r="H21" s="507">
        <f t="shared" si="5"/>
        <v>60175.799682998164</v>
      </c>
      <c r="I21" s="507">
        <f t="shared" si="6"/>
        <v>60175.799682998164</v>
      </c>
      <c r="J21" s="507">
        <f t="shared" si="7"/>
        <v>60175.799682998164</v>
      </c>
      <c r="K21" s="507">
        <f t="shared" si="8"/>
        <v>60175.799682998164</v>
      </c>
      <c r="L21" s="507">
        <f t="shared" si="9"/>
        <v>60175.799682998164</v>
      </c>
      <c r="M21" s="507">
        <f t="shared" si="10"/>
        <v>60175.799682998164</v>
      </c>
      <c r="N21" s="507">
        <f t="shared" si="11"/>
        <v>60175.799682998164</v>
      </c>
      <c r="O21" s="508">
        <f t="shared" si="12"/>
        <v>722109.59619597811</v>
      </c>
      <c r="P21" s="509"/>
      <c r="Q21"/>
    </row>
    <row r="22" spans="1:18" s="500" customFormat="1" ht="12.75" customHeight="1" x14ac:dyDescent="0.25">
      <c r="A22" s="505" t="s">
        <v>158</v>
      </c>
      <c r="B22" s="506">
        <f>'CUADRO 6 -FGP'!U26</f>
        <v>3.6736649788182838</v>
      </c>
      <c r="C22" s="507">
        <f t="shared" si="0"/>
        <v>9979.6576319549586</v>
      </c>
      <c r="D22" s="507">
        <f t="shared" si="1"/>
        <v>9979.6576319549586</v>
      </c>
      <c r="E22" s="507">
        <f t="shared" si="2"/>
        <v>9979.6576319549586</v>
      </c>
      <c r="F22" s="507">
        <f t="shared" si="3"/>
        <v>9979.6576319549586</v>
      </c>
      <c r="G22" s="507">
        <f t="shared" si="4"/>
        <v>9979.6576319549586</v>
      </c>
      <c r="H22" s="507">
        <f t="shared" si="5"/>
        <v>9979.6576319549586</v>
      </c>
      <c r="I22" s="507">
        <f t="shared" si="6"/>
        <v>9979.6576319549586</v>
      </c>
      <c r="J22" s="507">
        <f t="shared" si="7"/>
        <v>9979.6576319549586</v>
      </c>
      <c r="K22" s="507">
        <f t="shared" si="8"/>
        <v>9979.6576319549586</v>
      </c>
      <c r="L22" s="507">
        <f t="shared" si="9"/>
        <v>9979.6576319549586</v>
      </c>
      <c r="M22" s="507">
        <f t="shared" si="10"/>
        <v>9979.6576319549586</v>
      </c>
      <c r="N22" s="507">
        <f t="shared" si="11"/>
        <v>9979.6576319549586</v>
      </c>
      <c r="O22" s="508">
        <f t="shared" si="12"/>
        <v>119755.89158345952</v>
      </c>
      <c r="P22" s="509"/>
      <c r="Q22"/>
    </row>
    <row r="23" spans="1:18" s="500" customFormat="1" ht="12.75" customHeight="1" thickBot="1" x14ac:dyDescent="0.3">
      <c r="A23" s="505" t="s">
        <v>159</v>
      </c>
      <c r="B23" s="506">
        <f>'CUADRO 6 -FGP'!U27</f>
        <v>5.0454269348050316</v>
      </c>
      <c r="C23" s="507">
        <f t="shared" si="0"/>
        <v>13706.103770136075</v>
      </c>
      <c r="D23" s="507">
        <f t="shared" si="1"/>
        <v>13706.103770136075</v>
      </c>
      <c r="E23" s="507">
        <f t="shared" si="2"/>
        <v>13706.103770136075</v>
      </c>
      <c r="F23" s="507">
        <f t="shared" si="3"/>
        <v>13706.103770136075</v>
      </c>
      <c r="G23" s="507">
        <f t="shared" si="4"/>
        <v>13706.103770136075</v>
      </c>
      <c r="H23" s="507">
        <f t="shared" si="5"/>
        <v>13706.103770136075</v>
      </c>
      <c r="I23" s="507">
        <f t="shared" si="6"/>
        <v>13706.103770136075</v>
      </c>
      <c r="J23" s="507">
        <f t="shared" si="7"/>
        <v>13706.103770136075</v>
      </c>
      <c r="K23" s="507">
        <f t="shared" si="8"/>
        <v>13706.103770136075</v>
      </c>
      <c r="L23" s="507">
        <f t="shared" si="9"/>
        <v>13706.103770136075</v>
      </c>
      <c r="M23" s="507">
        <f t="shared" si="10"/>
        <v>13706.103770136075</v>
      </c>
      <c r="N23" s="507">
        <f t="shared" si="11"/>
        <v>13706.103770136075</v>
      </c>
      <c r="O23" s="508">
        <f t="shared" si="12"/>
        <v>164473.24524163289</v>
      </c>
      <c r="P23" s="509"/>
      <c r="Q23"/>
    </row>
    <row r="24" spans="1:18" s="500" customFormat="1" ht="13.5" customHeight="1" thickBot="1" x14ac:dyDescent="0.3">
      <c r="A24" s="510" t="s">
        <v>264</v>
      </c>
      <c r="B24" s="539">
        <f>SUM(B4:B23)</f>
        <v>100</v>
      </c>
      <c r="C24" s="512">
        <f>'X22.55 POE'!B97</f>
        <v>271653.99374999997</v>
      </c>
      <c r="D24" s="512">
        <f>'X22.55 POE'!C97</f>
        <v>271653.99374999997</v>
      </c>
      <c r="E24" s="512">
        <f>'X22.55 POE'!D97</f>
        <v>271653.99374999997</v>
      </c>
      <c r="F24" s="512">
        <f>'X22.55 POE'!E97</f>
        <v>271653.99374999997</v>
      </c>
      <c r="G24" s="512">
        <f>'X22.55 POE'!F97</f>
        <v>271653.99374999997</v>
      </c>
      <c r="H24" s="512">
        <f>'X22.55 POE'!G97</f>
        <v>271653.99374999997</v>
      </c>
      <c r="I24" s="512">
        <f>'X22.55 POE'!H97</f>
        <v>271653.99374999997</v>
      </c>
      <c r="J24" s="512">
        <f>'X22.55 POE'!I97</f>
        <v>271653.99374999997</v>
      </c>
      <c r="K24" s="512">
        <f>'X22.55 POE'!J97</f>
        <v>271653.99374999997</v>
      </c>
      <c r="L24" s="512">
        <f>'X22.55 POE'!K97</f>
        <v>271653.99374999997</v>
      </c>
      <c r="M24" s="512">
        <f>'X22.55 POE'!L97</f>
        <v>271653.99374999997</v>
      </c>
      <c r="N24" s="512">
        <f>'X22.55 POE'!M97</f>
        <v>271653.99374999997</v>
      </c>
      <c r="O24" s="512">
        <f>SUM(C24:N24)</f>
        <v>3259847.9249999993</v>
      </c>
      <c r="Q24"/>
    </row>
    <row r="25" spans="1:18" s="500" customFormat="1" x14ac:dyDescent="0.25">
      <c r="A25" s="514" t="s">
        <v>265</v>
      </c>
      <c r="O25" s="509"/>
      <c r="Q25"/>
    </row>
    <row r="26" spans="1:18" s="500" customFormat="1" x14ac:dyDescent="0.25">
      <c r="Q26"/>
    </row>
    <row r="27" spans="1:18" s="500" customFormat="1" x14ac:dyDescent="0.25">
      <c r="Q27"/>
    </row>
    <row r="28" spans="1:18" s="500" customFormat="1" x14ac:dyDescent="0.25">
      <c r="C28" s="645"/>
      <c r="D28" s="645"/>
      <c r="E28" s="645"/>
      <c r="F28" s="645"/>
      <c r="G28" s="645"/>
      <c r="H28" s="645"/>
      <c r="I28" s="645"/>
      <c r="J28" s="645"/>
      <c r="K28" s="645"/>
      <c r="L28" s="645"/>
      <c r="M28" s="645"/>
      <c r="N28" s="645"/>
      <c r="O28" s="645"/>
      <c r="Q28"/>
    </row>
    <row r="29" spans="1:18" s="500" customFormat="1" ht="15.75" x14ac:dyDescent="0.25">
      <c r="A29" s="828"/>
      <c r="B29" s="828"/>
      <c r="C29" s="828"/>
      <c r="D29" s="828"/>
      <c r="E29" s="828"/>
      <c r="F29" s="828"/>
      <c r="G29" s="828"/>
      <c r="H29" s="828"/>
      <c r="I29" s="828"/>
      <c r="J29" s="828"/>
      <c r="K29" s="828"/>
      <c r="L29" s="828"/>
      <c r="M29" s="828"/>
      <c r="N29" s="828"/>
      <c r="O29" s="828"/>
      <c r="P29" s="828"/>
      <c r="Q29" s="828"/>
      <c r="R29" s="828"/>
    </row>
    <row r="30" spans="1:18" s="500" customFormat="1" x14ac:dyDescent="0.25">
      <c r="A30"/>
      <c r="B30"/>
      <c r="C30"/>
      <c r="D30"/>
      <c r="E30"/>
      <c r="F30"/>
      <c r="G30"/>
      <c r="H30"/>
      <c r="I30"/>
      <c r="J30"/>
      <c r="K30"/>
      <c r="L30"/>
      <c r="M30"/>
      <c r="N30"/>
      <c r="O30" s="509"/>
      <c r="P30"/>
      <c r="Q30"/>
    </row>
    <row r="31" spans="1:18" s="500" customFormat="1" x14ac:dyDescent="0.25">
      <c r="A31"/>
      <c r="B31"/>
      <c r="C31"/>
      <c r="D31"/>
      <c r="E31"/>
      <c r="F31"/>
      <c r="G31"/>
      <c r="H31"/>
      <c r="I31"/>
      <c r="J31"/>
      <c r="K31"/>
      <c r="L31"/>
      <c r="M31"/>
      <c r="N31"/>
      <c r="P31"/>
      <c r="Q31"/>
    </row>
    <row r="32" spans="1:18" s="500" customFormat="1" x14ac:dyDescent="0.25">
      <c r="A32"/>
      <c r="B32"/>
      <c r="C32"/>
      <c r="D32"/>
      <c r="E32"/>
      <c r="F32"/>
      <c r="G32"/>
      <c r="H32"/>
      <c r="I32"/>
      <c r="J32"/>
      <c r="K32"/>
      <c r="L32"/>
      <c r="M32"/>
      <c r="N32"/>
      <c r="P32"/>
      <c r="Q32"/>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Q25"/>
  <sheetViews>
    <sheetView workbookViewId="0">
      <selection sqref="A1:O1"/>
    </sheetView>
  </sheetViews>
  <sheetFormatPr baseColWidth="10" defaultRowHeight="12.75" x14ac:dyDescent="0.2"/>
  <cols>
    <col min="1" max="1" width="16.5703125" style="500" customWidth="1"/>
    <col min="2" max="2" width="9.7109375" style="500" hidden="1" customWidth="1"/>
    <col min="3" max="10" width="9.7109375" style="500" customWidth="1"/>
    <col min="11" max="11" width="10.42578125" style="500" bestFit="1" customWidth="1"/>
    <col min="12" max="14" width="9.7109375" style="500" customWidth="1"/>
    <col min="15" max="15" width="11.42578125" style="500" bestFit="1" customWidth="1"/>
    <col min="16" max="16" width="12.7109375" style="500" bestFit="1" customWidth="1"/>
    <col min="17" max="16384" width="11.42578125" style="500"/>
  </cols>
  <sheetData>
    <row r="1" spans="1:17" x14ac:dyDescent="0.2">
      <c r="A1" s="1193" t="s">
        <v>437</v>
      </c>
      <c r="B1" s="1193"/>
      <c r="C1" s="1193"/>
      <c r="D1" s="1193"/>
      <c r="E1" s="1193"/>
      <c r="F1" s="1193"/>
      <c r="G1" s="1193"/>
      <c r="H1" s="1193"/>
      <c r="I1" s="1193"/>
      <c r="J1" s="1193"/>
      <c r="K1" s="1193"/>
      <c r="L1" s="1193"/>
      <c r="M1" s="1193"/>
      <c r="N1" s="1193"/>
      <c r="O1" s="1193"/>
    </row>
    <row r="2" spans="1:17" ht="13.5" thickBot="1" x14ac:dyDescent="0.25">
      <c r="O2" s="965" t="s">
        <v>559</v>
      </c>
    </row>
    <row r="3" spans="1:17" ht="23.25" thickBot="1" x14ac:dyDescent="0.25">
      <c r="A3" s="777" t="s">
        <v>288</v>
      </c>
      <c r="B3" s="779" t="s">
        <v>257</v>
      </c>
      <c r="C3" s="777" t="s">
        <v>1</v>
      </c>
      <c r="D3" s="779" t="s">
        <v>2</v>
      </c>
      <c r="E3" s="777" t="s">
        <v>3</v>
      </c>
      <c r="F3" s="779" t="s">
        <v>4</v>
      </c>
      <c r="G3" s="777" t="s">
        <v>5</v>
      </c>
      <c r="H3" s="777" t="s">
        <v>6</v>
      </c>
      <c r="I3" s="777" t="s">
        <v>7</v>
      </c>
      <c r="J3" s="779" t="s">
        <v>8</v>
      </c>
      <c r="K3" s="777" t="s">
        <v>9</v>
      </c>
      <c r="L3" s="779" t="s">
        <v>10</v>
      </c>
      <c r="M3" s="777" t="s">
        <v>11</v>
      </c>
      <c r="N3" s="777" t="s">
        <v>12</v>
      </c>
      <c r="O3" s="780" t="s">
        <v>160</v>
      </c>
    </row>
    <row r="4" spans="1:17" x14ac:dyDescent="0.2">
      <c r="A4" s="505" t="s">
        <v>258</v>
      </c>
      <c r="B4" s="506">
        <f>'CUADRO 6 -FGP'!U8</f>
        <v>3.5382379979592633</v>
      </c>
      <c r="C4" s="507">
        <f>$C$24*B4/100</f>
        <v>52818.079838063524</v>
      </c>
      <c r="D4" s="507">
        <f>$D$24*B4/100</f>
        <v>56232.408788339562</v>
      </c>
      <c r="E4" s="507">
        <f>$E$24*B4/100</f>
        <v>48660.548408881928</v>
      </c>
      <c r="F4" s="507">
        <f>$F$24*B4/100</f>
        <v>45187.244106843995</v>
      </c>
      <c r="G4" s="507">
        <f>$G$24*B4/100</f>
        <v>48706.435818109188</v>
      </c>
      <c r="H4" s="507">
        <f>$H$24*B4/100</f>
        <v>42798.089555567305</v>
      </c>
      <c r="I4" s="507">
        <f>$I$24*B4/100</f>
        <v>45347.858000175031</v>
      </c>
      <c r="J4" s="507">
        <f>$J$24*B4/100</f>
        <v>46328.761080174932</v>
      </c>
      <c r="K4" s="507">
        <f>$K$24*B4/100</f>
        <v>46976.956560170322</v>
      </c>
      <c r="L4" s="507">
        <f>$L$24*B4/100</f>
        <v>46371.782516584404</v>
      </c>
      <c r="M4" s="507">
        <f>$M$24*B4/100</f>
        <v>47306.790226321435</v>
      </c>
      <c r="N4" s="507">
        <f>$N$24*B4/100</f>
        <v>51531.54464015174</v>
      </c>
      <c r="O4" s="508">
        <f>SUM(C4:N4)</f>
        <v>578266.49953938345</v>
      </c>
      <c r="P4" s="509"/>
      <c r="Q4" s="509"/>
    </row>
    <row r="5" spans="1:17" x14ac:dyDescent="0.2">
      <c r="A5" s="505" t="s">
        <v>141</v>
      </c>
      <c r="B5" s="506">
        <f>'CUADRO 6 -FGP'!U9</f>
        <v>2.8741138571776528</v>
      </c>
      <c r="C5" s="507">
        <f t="shared" ref="C5:C23" si="0">$C$24*B5/100</f>
        <v>42904.172997873546</v>
      </c>
      <c r="D5" s="507">
        <f t="shared" ref="D5:D23" si="1">$D$24*B5/100</f>
        <v>45677.63542595529</v>
      </c>
      <c r="E5" s="507">
        <f t="shared" ref="E5:E23" si="2">$E$24*B5/100</f>
        <v>39527.00653842272</v>
      </c>
      <c r="F5" s="507">
        <f t="shared" ref="F5:F23" si="3">$F$24*B5/100</f>
        <v>36705.638379910022</v>
      </c>
      <c r="G5" s="507">
        <f t="shared" ref="G5:G23" si="4">$G$24*B5/100</f>
        <v>39564.280921549609</v>
      </c>
      <c r="H5" s="507">
        <f t="shared" ref="H5:H23" si="5">$H$24*B5/100</f>
        <v>34764.92602344224</v>
      </c>
      <c r="I5" s="507">
        <f t="shared" ref="I5:I23" si="6">$I$24*B5/100</f>
        <v>36836.105187610417</v>
      </c>
      <c r="J5" s="507">
        <f t="shared" ref="J5:J23" si="7">$J$24*B5/100</f>
        <v>37632.893627619822</v>
      </c>
      <c r="K5" s="507">
        <f t="shared" ref="K5:K23" si="8">$K$24*B5/100</f>
        <v>38159.423389690441</v>
      </c>
      <c r="L5" s="507">
        <f t="shared" ref="L5:L23" si="9">$L$24*B5/100</f>
        <v>37667.839978490367</v>
      </c>
      <c r="M5" s="507">
        <f t="shared" ref="M5:M23" si="10">$M$24*B5/100</f>
        <v>38427.347568616606</v>
      </c>
      <c r="N5" s="507">
        <f t="shared" ref="N5:N23" si="11">$N$24*B5/100</f>
        <v>41859.11931799171</v>
      </c>
      <c r="O5" s="508">
        <f t="shared" ref="O5:O23" si="12">SUM(C5:N5)</f>
        <v>469726.38935717288</v>
      </c>
      <c r="P5" s="509"/>
    </row>
    <row r="6" spans="1:17" x14ac:dyDescent="0.2">
      <c r="A6" s="505" t="s">
        <v>142</v>
      </c>
      <c r="B6" s="506">
        <f>'CUADRO 6 -FGP'!U10</f>
        <v>2.6500476658644221</v>
      </c>
      <c r="C6" s="507">
        <f t="shared" si="0"/>
        <v>39559.359565702245</v>
      </c>
      <c r="D6" s="507">
        <f t="shared" si="1"/>
        <v>42116.60259751384</v>
      </c>
      <c r="E6" s="507">
        <f t="shared" si="2"/>
        <v>36445.477326572116</v>
      </c>
      <c r="F6" s="507">
        <f t="shared" si="3"/>
        <v>33844.063299657799</v>
      </c>
      <c r="G6" s="507">
        <f t="shared" si="4"/>
        <v>36479.84579522386</v>
      </c>
      <c r="H6" s="507">
        <f t="shared" si="5"/>
        <v>32054.649064196008</v>
      </c>
      <c r="I6" s="507">
        <f t="shared" si="6"/>
        <v>33964.358902546242</v>
      </c>
      <c r="J6" s="507">
        <f t="shared" si="7"/>
        <v>34699.029639532346</v>
      </c>
      <c r="K6" s="507">
        <f t="shared" si="8"/>
        <v>35184.511090971282</v>
      </c>
      <c r="L6" s="507">
        <f t="shared" si="9"/>
        <v>34731.251569545202</v>
      </c>
      <c r="M6" s="507">
        <f t="shared" si="10"/>
        <v>35431.547875272219</v>
      </c>
      <c r="N6" s="507">
        <f t="shared" si="11"/>
        <v>38595.778370699256</v>
      </c>
      <c r="O6" s="508">
        <f t="shared" si="12"/>
        <v>433106.47509743244</v>
      </c>
      <c r="P6" s="509"/>
    </row>
    <row r="7" spans="1:17" x14ac:dyDescent="0.2">
      <c r="A7" s="312" t="s">
        <v>349</v>
      </c>
      <c r="B7" s="506">
        <f>'CUADRO 6 -FGP'!U11</f>
        <v>10.821341685981746</v>
      </c>
      <c r="C7" s="507">
        <f t="shared" si="0"/>
        <v>161538.73466250909</v>
      </c>
      <c r="D7" s="507">
        <f t="shared" si="1"/>
        <v>171981.11310640871</v>
      </c>
      <c r="E7" s="507">
        <f t="shared" si="2"/>
        <v>148823.34689285344</v>
      </c>
      <c r="F7" s="507">
        <f t="shared" si="3"/>
        <v>138200.59832324871</v>
      </c>
      <c r="G7" s="507">
        <f t="shared" si="4"/>
        <v>148963.68887511099</v>
      </c>
      <c r="H7" s="507">
        <f t="shared" si="5"/>
        <v>130893.61169462312</v>
      </c>
      <c r="I7" s="507">
        <f t="shared" si="6"/>
        <v>138691.81960916941</v>
      </c>
      <c r="J7" s="507">
        <f t="shared" si="7"/>
        <v>141691.81209006894</v>
      </c>
      <c r="K7" s="507">
        <f t="shared" si="8"/>
        <v>143674.25215554357</v>
      </c>
      <c r="L7" s="507">
        <f t="shared" si="9"/>
        <v>141823.38878544027</v>
      </c>
      <c r="M7" s="507">
        <f t="shared" si="10"/>
        <v>144683.01493606306</v>
      </c>
      <c r="N7" s="507">
        <f t="shared" si="11"/>
        <v>157603.99737924116</v>
      </c>
      <c r="O7" s="508">
        <f t="shared" si="12"/>
        <v>1768569.3785102805</v>
      </c>
      <c r="P7" s="509"/>
    </row>
    <row r="8" spans="1:17" x14ac:dyDescent="0.2">
      <c r="A8" s="505" t="s">
        <v>144</v>
      </c>
      <c r="B8" s="506">
        <f>'CUADRO 6 -FGP'!U12</f>
        <v>5.6495036228011593</v>
      </c>
      <c r="C8" s="507">
        <f t="shared" si="0"/>
        <v>84334.613320710894</v>
      </c>
      <c r="D8" s="507">
        <f t="shared" si="1"/>
        <v>89786.271401694918</v>
      </c>
      <c r="E8" s="507">
        <f t="shared" si="2"/>
        <v>77696.28404930004</v>
      </c>
      <c r="F8" s="507">
        <f t="shared" si="3"/>
        <v>72150.460040634789</v>
      </c>
      <c r="G8" s="507">
        <f t="shared" si="4"/>
        <v>77769.552462792824</v>
      </c>
      <c r="H8" s="507">
        <f t="shared" si="5"/>
        <v>68335.697636111858</v>
      </c>
      <c r="I8" s="507">
        <f t="shared" si="6"/>
        <v>72406.912199242899</v>
      </c>
      <c r="J8" s="507">
        <f t="shared" si="7"/>
        <v>73973.11987302643</v>
      </c>
      <c r="K8" s="507">
        <f t="shared" si="8"/>
        <v>75008.093414837189</v>
      </c>
      <c r="L8" s="507">
        <f t="shared" si="9"/>
        <v>74041.81218852177</v>
      </c>
      <c r="M8" s="507">
        <f t="shared" si="10"/>
        <v>75534.738737429172</v>
      </c>
      <c r="N8" s="507">
        <f t="shared" si="11"/>
        <v>82280.402929647345</v>
      </c>
      <c r="O8" s="508">
        <f t="shared" si="12"/>
        <v>923317.95825395</v>
      </c>
      <c r="P8" s="509"/>
    </row>
    <row r="9" spans="1:17" x14ac:dyDescent="0.2">
      <c r="A9" s="505" t="s">
        <v>260</v>
      </c>
      <c r="B9" s="506">
        <f>'CUADRO 6 -FGP'!U13</f>
        <v>5.2511692356964428</v>
      </c>
      <c r="C9" s="507">
        <f t="shared" si="0"/>
        <v>78388.360560868925</v>
      </c>
      <c r="D9" s="507">
        <f t="shared" si="1"/>
        <v>83455.633919692787</v>
      </c>
      <c r="E9" s="507">
        <f t="shared" si="2"/>
        <v>72218.085652863476</v>
      </c>
      <c r="F9" s="507">
        <f t="shared" si="3"/>
        <v>67063.285804014042</v>
      </c>
      <c r="G9" s="507">
        <f t="shared" si="4"/>
        <v>72286.188067618772</v>
      </c>
      <c r="H9" s="507">
        <f t="shared" si="5"/>
        <v>63517.494117241062</v>
      </c>
      <c r="I9" s="507">
        <f t="shared" si="6"/>
        <v>67301.65607078858</v>
      </c>
      <c r="J9" s="507">
        <f t="shared" si="7"/>
        <v>68757.433799665567</v>
      </c>
      <c r="K9" s="507">
        <f t="shared" si="8"/>
        <v>69719.433576173673</v>
      </c>
      <c r="L9" s="507">
        <f t="shared" si="9"/>
        <v>68821.282767281446</v>
      </c>
      <c r="M9" s="507">
        <f t="shared" si="10"/>
        <v>70208.946266272149</v>
      </c>
      <c r="N9" s="507">
        <f t="shared" si="11"/>
        <v>76478.988139960114</v>
      </c>
      <c r="O9" s="508">
        <f t="shared" si="12"/>
        <v>858216.7887424404</v>
      </c>
      <c r="P9" s="509"/>
    </row>
    <row r="10" spans="1:17" x14ac:dyDescent="0.2">
      <c r="A10" s="505" t="s">
        <v>146</v>
      </c>
      <c r="B10" s="506">
        <f>'CUADRO 6 -FGP'!U14</f>
        <v>2.6896373379327465</v>
      </c>
      <c r="C10" s="507">
        <f t="shared" si="0"/>
        <v>40150.345944027715</v>
      </c>
      <c r="D10" s="507">
        <f t="shared" si="1"/>
        <v>42745.792218117749</v>
      </c>
      <c r="E10" s="507">
        <f t="shared" si="2"/>
        <v>36989.94470137381</v>
      </c>
      <c r="F10" s="507">
        <f t="shared" si="3"/>
        <v>34349.66755151793</v>
      </c>
      <c r="G10" s="507">
        <f t="shared" si="4"/>
        <v>37024.826608489675</v>
      </c>
      <c r="H10" s="507">
        <f t="shared" si="5"/>
        <v>32533.520844905204</v>
      </c>
      <c r="I10" s="507">
        <f t="shared" si="6"/>
        <v>34471.760278107562</v>
      </c>
      <c r="J10" s="507">
        <f t="shared" si="7"/>
        <v>35217.406430340016</v>
      </c>
      <c r="K10" s="507">
        <f t="shared" si="8"/>
        <v>35710.140600930121</v>
      </c>
      <c r="L10" s="507">
        <f t="shared" si="9"/>
        <v>35250.10973118218</v>
      </c>
      <c r="M10" s="507">
        <f t="shared" si="10"/>
        <v>35960.867924614657</v>
      </c>
      <c r="N10" s="507">
        <f t="shared" si="11"/>
        <v>39172.369587755456</v>
      </c>
      <c r="O10" s="508">
        <f t="shared" si="12"/>
        <v>439576.75242136209</v>
      </c>
      <c r="P10" s="509"/>
    </row>
    <row r="11" spans="1:17" x14ac:dyDescent="0.2">
      <c r="A11" s="505" t="s">
        <v>147</v>
      </c>
      <c r="B11" s="506">
        <f>'CUADRO 6 -FGP'!U15</f>
        <v>3.2966407951075851</v>
      </c>
      <c r="C11" s="507">
        <f t="shared" si="0"/>
        <v>49211.56711725935</v>
      </c>
      <c r="D11" s="507">
        <f t="shared" si="1"/>
        <v>52392.759595517971</v>
      </c>
      <c r="E11" s="507">
        <f t="shared" si="2"/>
        <v>45337.919351256307</v>
      </c>
      <c r="F11" s="507">
        <f t="shared" si="3"/>
        <v>42101.778463468356</v>
      </c>
      <c r="G11" s="507">
        <f t="shared" si="4"/>
        <v>45380.673486316642</v>
      </c>
      <c r="H11" s="507">
        <f t="shared" si="5"/>
        <v>39875.759647295345</v>
      </c>
      <c r="I11" s="507">
        <f t="shared" si="6"/>
        <v>42251.425353621467</v>
      </c>
      <c r="J11" s="507">
        <f t="shared" si="7"/>
        <v>43165.350621350612</v>
      </c>
      <c r="K11" s="507">
        <f t="shared" si="8"/>
        <v>43769.286157566559</v>
      </c>
      <c r="L11" s="507">
        <f t="shared" si="9"/>
        <v>43205.434477330178</v>
      </c>
      <c r="M11" s="507">
        <f t="shared" si="10"/>
        <v>44076.598192557081</v>
      </c>
      <c r="N11" s="507">
        <f t="shared" si="11"/>
        <v>48012.87883788866</v>
      </c>
      <c r="O11" s="508">
        <f t="shared" si="12"/>
        <v>538781.43130142859</v>
      </c>
      <c r="P11" s="509"/>
    </row>
    <row r="12" spans="1:17" x14ac:dyDescent="0.2">
      <c r="A12" s="505" t="s">
        <v>148</v>
      </c>
      <c r="B12" s="506">
        <f>'CUADRO 6 -FGP'!U16</f>
        <v>2.9179725284992895</v>
      </c>
      <c r="C12" s="507">
        <f t="shared" si="0"/>
        <v>43558.886107843442</v>
      </c>
      <c r="D12" s="507">
        <f t="shared" si="1"/>
        <v>46374.671277159803</v>
      </c>
      <c r="E12" s="507">
        <f t="shared" si="2"/>
        <v>40130.184447943415</v>
      </c>
      <c r="F12" s="507">
        <f t="shared" si="3"/>
        <v>37265.762511852452</v>
      </c>
      <c r="G12" s="507">
        <f t="shared" si="4"/>
        <v>40168.027634186503</v>
      </c>
      <c r="H12" s="507">
        <f t="shared" si="5"/>
        <v>35295.435091541738</v>
      </c>
      <c r="I12" s="507">
        <f t="shared" si="6"/>
        <v>37398.22022914156</v>
      </c>
      <c r="J12" s="507">
        <f t="shared" si="7"/>
        <v>38207.167575874853</v>
      </c>
      <c r="K12" s="507">
        <f t="shared" si="8"/>
        <v>38741.73212603086</v>
      </c>
      <c r="L12" s="507">
        <f t="shared" si="9"/>
        <v>38242.647204337336</v>
      </c>
      <c r="M12" s="507">
        <f t="shared" si="10"/>
        <v>39013.744799389249</v>
      </c>
      <c r="N12" s="507">
        <f t="shared" si="11"/>
        <v>42497.885020121474</v>
      </c>
      <c r="O12" s="508">
        <f t="shared" si="12"/>
        <v>476894.36402542266</v>
      </c>
      <c r="P12" s="509"/>
    </row>
    <row r="13" spans="1:17" x14ac:dyDescent="0.2">
      <c r="A13" s="505" t="s">
        <v>149</v>
      </c>
      <c r="B13" s="506">
        <f>'CUADRO 6 -FGP'!U17</f>
        <v>2.7163014877407865</v>
      </c>
      <c r="C13" s="507">
        <f t="shared" si="0"/>
        <v>40548.382818366706</v>
      </c>
      <c r="D13" s="507">
        <f t="shared" si="1"/>
        <v>43169.55946409273</v>
      </c>
      <c r="E13" s="507">
        <f t="shared" si="2"/>
        <v>37356.650432662704</v>
      </c>
      <c r="F13" s="507">
        <f t="shared" si="3"/>
        <v>34690.198473115706</v>
      </c>
      <c r="G13" s="507">
        <f t="shared" si="4"/>
        <v>37391.87814714219</v>
      </c>
      <c r="H13" s="507">
        <f t="shared" si="5"/>
        <v>32856.047105734957</v>
      </c>
      <c r="I13" s="507">
        <f t="shared" si="6"/>
        <v>34813.501585472353</v>
      </c>
      <c r="J13" s="507">
        <f t="shared" si="7"/>
        <v>35566.539820059741</v>
      </c>
      <c r="K13" s="507">
        <f t="shared" si="8"/>
        <v>36064.158789635527</v>
      </c>
      <c r="L13" s="507">
        <f t="shared" si="9"/>
        <v>35599.567330303886</v>
      </c>
      <c r="M13" s="507">
        <f t="shared" si="10"/>
        <v>36317.371738733345</v>
      </c>
      <c r="N13" s="507">
        <f t="shared" si="11"/>
        <v>39560.711137113416</v>
      </c>
      <c r="O13" s="508">
        <f t="shared" si="12"/>
        <v>443934.56684243318</v>
      </c>
      <c r="P13" s="509"/>
    </row>
    <row r="14" spans="1:17" x14ac:dyDescent="0.2">
      <c r="A14" s="505" t="s">
        <v>150</v>
      </c>
      <c r="B14" s="506">
        <f>'CUADRO 6 -FGP'!U18</f>
        <v>3.687422971777889</v>
      </c>
      <c r="C14" s="507">
        <f t="shared" si="0"/>
        <v>55045.082052820224</v>
      </c>
      <c r="D14" s="507">
        <f t="shared" si="1"/>
        <v>58603.371521113673</v>
      </c>
      <c r="E14" s="507">
        <f t="shared" si="2"/>
        <v>50712.253987920427</v>
      </c>
      <c r="F14" s="507">
        <f t="shared" si="3"/>
        <v>47092.502552687234</v>
      </c>
      <c r="G14" s="507">
        <f t="shared" si="4"/>
        <v>50760.076177099778</v>
      </c>
      <c r="H14" s="507">
        <f t="shared" si="5"/>
        <v>44602.612562079892</v>
      </c>
      <c r="I14" s="507">
        <f t="shared" si="6"/>
        <v>47259.88851151678</v>
      </c>
      <c r="J14" s="507">
        <f t="shared" si="7"/>
        <v>48282.150030489072</v>
      </c>
      <c r="K14" s="507">
        <f t="shared" si="8"/>
        <v>48957.675787805623</v>
      </c>
      <c r="L14" s="507">
        <f t="shared" si="9"/>
        <v>48326.985407020191</v>
      </c>
      <c r="M14" s="507">
        <f t="shared" si="10"/>
        <v>49301.416440111316</v>
      </c>
      <c r="N14" s="507">
        <f t="shared" si="11"/>
        <v>53704.301855016427</v>
      </c>
      <c r="O14" s="508">
        <f t="shared" si="12"/>
        <v>602648.31688568066</v>
      </c>
      <c r="P14" s="509"/>
    </row>
    <row r="15" spans="1:17" x14ac:dyDescent="0.2">
      <c r="A15" s="505" t="s">
        <v>151</v>
      </c>
      <c r="B15" s="506">
        <f>'CUADRO 6 -FGP'!U19</f>
        <v>3.0199463386419172</v>
      </c>
      <c r="C15" s="507">
        <f t="shared" si="0"/>
        <v>45081.129905070018</v>
      </c>
      <c r="D15" s="507">
        <f t="shared" si="1"/>
        <v>47995.317763052524</v>
      </c>
      <c r="E15" s="507">
        <f t="shared" si="2"/>
        <v>41532.606084855754</v>
      </c>
      <c r="F15" s="507">
        <f t="shared" si="3"/>
        <v>38568.081760607784</v>
      </c>
      <c r="G15" s="507">
        <f t="shared" si="4"/>
        <v>41571.771769460785</v>
      </c>
      <c r="H15" s="507">
        <f t="shared" si="5"/>
        <v>36528.897696749125</v>
      </c>
      <c r="I15" s="507">
        <f t="shared" si="6"/>
        <v>38705.168451604783</v>
      </c>
      <c r="J15" s="507">
        <f t="shared" si="7"/>
        <v>39542.385921632755</v>
      </c>
      <c r="K15" s="507">
        <f t="shared" si="8"/>
        <v>40095.631793636101</v>
      </c>
      <c r="L15" s="507">
        <f t="shared" si="9"/>
        <v>39579.105449669834</v>
      </c>
      <c r="M15" s="507">
        <f t="shared" si="10"/>
        <v>40377.150440213401</v>
      </c>
      <c r="N15" s="507">
        <f t="shared" si="11"/>
        <v>43983.050221705431</v>
      </c>
      <c r="O15" s="508">
        <f t="shared" si="12"/>
        <v>493560.29725825822</v>
      </c>
      <c r="P15" s="509"/>
    </row>
    <row r="16" spans="1:17" x14ac:dyDescent="0.2">
      <c r="A16" s="505" t="s">
        <v>152</v>
      </c>
      <c r="B16" s="506">
        <f>'CUADRO 6 -FGP'!U20</f>
        <v>3.8781030658324118</v>
      </c>
      <c r="C16" s="507">
        <f t="shared" si="0"/>
        <v>57891.514779253572</v>
      </c>
      <c r="D16" s="507">
        <f t="shared" si="1"/>
        <v>61633.806727240932</v>
      </c>
      <c r="E16" s="507">
        <f t="shared" si="2"/>
        <v>53334.632118702422</v>
      </c>
      <c r="F16" s="507">
        <f t="shared" si="3"/>
        <v>49527.699947923866</v>
      </c>
      <c r="G16" s="507">
        <f t="shared" si="4"/>
        <v>53384.927238055607</v>
      </c>
      <c r="H16" s="507">
        <f t="shared" si="5"/>
        <v>46909.055414854723</v>
      </c>
      <c r="I16" s="507">
        <f t="shared" si="6"/>
        <v>49703.741591392063</v>
      </c>
      <c r="J16" s="507">
        <f t="shared" si="7"/>
        <v>50778.865210556782</v>
      </c>
      <c r="K16" s="507">
        <f t="shared" si="8"/>
        <v>51489.323037214774</v>
      </c>
      <c r="L16" s="507">
        <f t="shared" si="9"/>
        <v>50826.019066383422</v>
      </c>
      <c r="M16" s="507">
        <f t="shared" si="10"/>
        <v>51850.838840462922</v>
      </c>
      <c r="N16" s="507">
        <f t="shared" si="11"/>
        <v>56481.401582176193</v>
      </c>
      <c r="O16" s="508">
        <f t="shared" si="12"/>
        <v>633811.82555421733</v>
      </c>
      <c r="P16" s="509"/>
    </row>
    <row r="17" spans="1:16" x14ac:dyDescent="0.2">
      <c r="A17" s="505" t="s">
        <v>261</v>
      </c>
      <c r="B17" s="506">
        <f>'CUADRO 6 -FGP'!U21</f>
        <v>2.6080136409914254</v>
      </c>
      <c r="C17" s="507">
        <f t="shared" si="0"/>
        <v>38931.884397853843</v>
      </c>
      <c r="D17" s="507">
        <f t="shared" si="1"/>
        <v>41448.565435785073</v>
      </c>
      <c r="E17" s="507">
        <f t="shared" si="2"/>
        <v>35867.393347107674</v>
      </c>
      <c r="F17" s="507">
        <f t="shared" si="3"/>
        <v>33307.241937209947</v>
      </c>
      <c r="G17" s="507">
        <f t="shared" si="4"/>
        <v>35901.216676483338</v>
      </c>
      <c r="H17" s="507">
        <f t="shared" si="5"/>
        <v>31546.210694043111</v>
      </c>
      <c r="I17" s="507">
        <f t="shared" si="6"/>
        <v>33425.62945805554</v>
      </c>
      <c r="J17" s="507">
        <f t="shared" si="7"/>
        <v>34148.647133691193</v>
      </c>
      <c r="K17" s="507">
        <f t="shared" si="8"/>
        <v>34626.428067260953</v>
      </c>
      <c r="L17" s="507">
        <f t="shared" si="9"/>
        <v>34180.357971988582</v>
      </c>
      <c r="M17" s="507">
        <f t="shared" si="10"/>
        <v>34869.546450217793</v>
      </c>
      <c r="N17" s="507">
        <f t="shared" si="11"/>
        <v>37983.58715281132</v>
      </c>
      <c r="O17" s="508">
        <f t="shared" si="12"/>
        <v>426236.70872250828</v>
      </c>
      <c r="P17" s="509"/>
    </row>
    <row r="18" spans="1:16" x14ac:dyDescent="0.2">
      <c r="A18" s="505" t="s">
        <v>262</v>
      </c>
      <c r="B18" s="506">
        <f>'CUADRO 6 -FGP'!U22</f>
        <v>3.0247319555730168</v>
      </c>
      <c r="C18" s="507">
        <f t="shared" si="0"/>
        <v>45152.568597799836</v>
      </c>
      <c r="D18" s="507">
        <f t="shared" si="1"/>
        <v>48071.374480472106</v>
      </c>
      <c r="E18" s="507">
        <f t="shared" si="2"/>
        <v>41598.42154002763</v>
      </c>
      <c r="F18" s="507">
        <f t="shared" si="3"/>
        <v>38629.199424425809</v>
      </c>
      <c r="G18" s="507">
        <f t="shared" si="4"/>
        <v>41637.649289299508</v>
      </c>
      <c r="H18" s="507">
        <f t="shared" si="5"/>
        <v>36586.783927724537</v>
      </c>
      <c r="I18" s="507">
        <f t="shared" si="6"/>
        <v>38766.503352524371</v>
      </c>
      <c r="J18" s="507">
        <f t="shared" si="7"/>
        <v>39605.047535563201</v>
      </c>
      <c r="K18" s="507">
        <f t="shared" si="8"/>
        <v>40159.170119439943</v>
      </c>
      <c r="L18" s="507">
        <f t="shared" si="9"/>
        <v>39641.82525191734</v>
      </c>
      <c r="M18" s="507">
        <f t="shared" si="10"/>
        <v>40441.134880037302</v>
      </c>
      <c r="N18" s="507">
        <f t="shared" si="11"/>
        <v>44052.748821024594</v>
      </c>
      <c r="O18" s="508">
        <f t="shared" si="12"/>
        <v>494342.42722025618</v>
      </c>
      <c r="P18" s="509"/>
    </row>
    <row r="19" spans="1:16" x14ac:dyDescent="0.2">
      <c r="A19" s="505" t="s">
        <v>263</v>
      </c>
      <c r="B19" s="506">
        <f>'CUADRO 6 -FGP'!U23</f>
        <v>7.0312960513371792</v>
      </c>
      <c r="C19" s="507">
        <f t="shared" si="0"/>
        <v>104961.72287415013</v>
      </c>
      <c r="D19" s="507">
        <f t="shared" si="1"/>
        <v>111746.78303117989</v>
      </c>
      <c r="E19" s="507">
        <f t="shared" si="2"/>
        <v>96699.74775032427</v>
      </c>
      <c r="F19" s="507">
        <f t="shared" si="3"/>
        <v>89797.489949097377</v>
      </c>
      <c r="G19" s="507">
        <f t="shared" si="4"/>
        <v>96790.936630069453</v>
      </c>
      <c r="H19" s="507">
        <f t="shared" si="5"/>
        <v>85049.688084973212</v>
      </c>
      <c r="I19" s="507">
        <f t="shared" si="6"/>
        <v>90116.66684862187</v>
      </c>
      <c r="J19" s="507">
        <f t="shared" si="7"/>
        <v>92065.947806297918</v>
      </c>
      <c r="K19" s="507">
        <f t="shared" si="8"/>
        <v>93354.061924572306</v>
      </c>
      <c r="L19" s="507">
        <f t="shared" si="9"/>
        <v>92151.441336163145</v>
      </c>
      <c r="M19" s="507">
        <f t="shared" si="10"/>
        <v>94009.517593677665</v>
      </c>
      <c r="N19" s="507">
        <f t="shared" si="11"/>
        <v>102405.08031302199</v>
      </c>
      <c r="O19" s="508">
        <f t="shared" si="12"/>
        <v>1149149.0841421492</v>
      </c>
      <c r="P19" s="509"/>
    </row>
    <row r="20" spans="1:16" x14ac:dyDescent="0.2">
      <c r="A20" s="505" t="s">
        <v>156</v>
      </c>
      <c r="B20" s="506">
        <f>'CUADRO 6 -FGP'!U24</f>
        <v>3.4747933905881783</v>
      </c>
      <c r="C20" s="507">
        <f t="shared" si="0"/>
        <v>51870.991954389981</v>
      </c>
      <c r="D20" s="507">
        <f t="shared" si="1"/>
        <v>55224.098126602214</v>
      </c>
      <c r="E20" s="507">
        <f t="shared" si="2"/>
        <v>47788.009763928188</v>
      </c>
      <c r="F20" s="507">
        <f t="shared" si="3"/>
        <v>44376.985734684284</v>
      </c>
      <c r="G20" s="507">
        <f t="shared" si="4"/>
        <v>47833.074360031133</v>
      </c>
      <c r="H20" s="507">
        <f t="shared" si="5"/>
        <v>42030.671425511726</v>
      </c>
      <c r="I20" s="507">
        <f t="shared" si="6"/>
        <v>44534.719639329815</v>
      </c>
      <c r="J20" s="507">
        <f t="shared" si="7"/>
        <v>45498.03401816955</v>
      </c>
      <c r="K20" s="507">
        <f t="shared" si="8"/>
        <v>46134.606620407219</v>
      </c>
      <c r="L20" s="507">
        <f t="shared" si="9"/>
        <v>45540.284031587384</v>
      </c>
      <c r="M20" s="507">
        <f t="shared" si="10"/>
        <v>46458.525996038923</v>
      </c>
      <c r="N20" s="507">
        <f t="shared" si="11"/>
        <v>50607.525787037375</v>
      </c>
      <c r="O20" s="508">
        <f t="shared" si="12"/>
        <v>567897.52745771781</v>
      </c>
      <c r="P20" s="509"/>
    </row>
    <row r="21" spans="1:16" x14ac:dyDescent="0.2">
      <c r="A21" s="505" t="s">
        <v>157</v>
      </c>
      <c r="B21" s="506">
        <f>'CUADRO 6 -FGP'!U25</f>
        <v>22.15163445687357</v>
      </c>
      <c r="C21" s="507">
        <f t="shared" si="0"/>
        <v>330674.98510885017</v>
      </c>
      <c r="D21" s="507">
        <f t="shared" si="1"/>
        <v>352050.86962132732</v>
      </c>
      <c r="E21" s="507">
        <f t="shared" si="2"/>
        <v>304646.17740419263</v>
      </c>
      <c r="F21" s="507">
        <f t="shared" si="3"/>
        <v>282901.06944350526</v>
      </c>
      <c r="G21" s="507">
        <f t="shared" si="4"/>
        <v>304933.46195541887</v>
      </c>
      <c r="H21" s="507">
        <f t="shared" si="5"/>
        <v>267943.43281437474</v>
      </c>
      <c r="I21" s="507">
        <f t="shared" si="6"/>
        <v>283906.61521397531</v>
      </c>
      <c r="J21" s="507">
        <f t="shared" si="7"/>
        <v>290047.69630527316</v>
      </c>
      <c r="K21" s="507">
        <f t="shared" si="8"/>
        <v>294105.81487664604</v>
      </c>
      <c r="L21" s="507">
        <f t="shared" si="9"/>
        <v>290317.03803234245</v>
      </c>
      <c r="M21" s="507">
        <f t="shared" si="10"/>
        <v>296170.78473123582</v>
      </c>
      <c r="N21" s="507">
        <f t="shared" si="11"/>
        <v>322620.45134473348</v>
      </c>
      <c r="O21" s="508">
        <f t="shared" si="12"/>
        <v>3620318.3968518749</v>
      </c>
      <c r="P21" s="509"/>
    </row>
    <row r="22" spans="1:16" x14ac:dyDescent="0.2">
      <c r="A22" s="505" t="s">
        <v>158</v>
      </c>
      <c r="B22" s="506">
        <f>'CUADRO 6 -FGP'!U26</f>
        <v>3.6736649788182838</v>
      </c>
      <c r="C22" s="507">
        <f t="shared" si="0"/>
        <v>54839.705599633337</v>
      </c>
      <c r="D22" s="507">
        <f t="shared" si="1"/>
        <v>58384.718879697852</v>
      </c>
      <c r="E22" s="507">
        <f t="shared" si="2"/>
        <v>50523.043572225928</v>
      </c>
      <c r="F22" s="507">
        <f t="shared" si="3"/>
        <v>46916.797643451479</v>
      </c>
      <c r="G22" s="507">
        <f t="shared" si="4"/>
        <v>50570.687333992122</v>
      </c>
      <c r="H22" s="507">
        <f t="shared" si="5"/>
        <v>44436.197579501088</v>
      </c>
      <c r="I22" s="507">
        <f t="shared" si="6"/>
        <v>47083.559075379519</v>
      </c>
      <c r="J22" s="507">
        <f t="shared" si="7"/>
        <v>48102.00647622961</v>
      </c>
      <c r="K22" s="507">
        <f t="shared" si="8"/>
        <v>48775.011807035742</v>
      </c>
      <c r="L22" s="507">
        <f t="shared" si="9"/>
        <v>48146.674569322022</v>
      </c>
      <c r="M22" s="507">
        <f t="shared" si="10"/>
        <v>49117.469942659576</v>
      </c>
      <c r="N22" s="507">
        <f t="shared" si="11"/>
        <v>53503.927931960461</v>
      </c>
      <c r="O22" s="508">
        <f t="shared" si="12"/>
        <v>600399.80041108874</v>
      </c>
      <c r="P22" s="509"/>
    </row>
    <row r="23" spans="1:16" ht="13.5" thickBot="1" x14ac:dyDescent="0.25">
      <c r="A23" s="505" t="s">
        <v>159</v>
      </c>
      <c r="B23" s="506">
        <f>'CUADRO 6 -FGP'!U27</f>
        <v>5.0454269348050316</v>
      </c>
      <c r="C23" s="507">
        <f t="shared" si="0"/>
        <v>75317.082348149168</v>
      </c>
      <c r="D23" s="507">
        <f t="shared" si="1"/>
        <v>80185.818498725566</v>
      </c>
      <c r="E23" s="507">
        <f t="shared" si="2"/>
        <v>69388.560562110506</v>
      </c>
      <c r="F23" s="507">
        <f t="shared" si="3"/>
        <v>64435.727234227023</v>
      </c>
      <c r="G23" s="507">
        <f t="shared" si="4"/>
        <v>69453.994704928817</v>
      </c>
      <c r="H23" s="507">
        <f t="shared" si="5"/>
        <v>61028.860672007104</v>
      </c>
      <c r="I23" s="507">
        <f t="shared" si="6"/>
        <v>64664.758086301896</v>
      </c>
      <c r="J23" s="507">
        <f t="shared" si="7"/>
        <v>66063.498030624236</v>
      </c>
      <c r="K23" s="507">
        <f t="shared" si="8"/>
        <v>66987.806382881463</v>
      </c>
      <c r="L23" s="507">
        <f t="shared" si="9"/>
        <v>66124.845377569131</v>
      </c>
      <c r="M23" s="507">
        <f t="shared" si="10"/>
        <v>67458.139826862374</v>
      </c>
      <c r="N23" s="507">
        <f t="shared" si="11"/>
        <v>73482.519680555095</v>
      </c>
      <c r="O23" s="508">
        <f t="shared" si="12"/>
        <v>824591.61140494235</v>
      </c>
      <c r="P23" s="509"/>
    </row>
    <row r="24" spans="1:16" ht="13.5" thickBot="1" x14ac:dyDescent="0.25">
      <c r="A24" s="510" t="s">
        <v>264</v>
      </c>
      <c r="B24" s="539">
        <f>SUM(B4:B23)</f>
        <v>100</v>
      </c>
      <c r="C24" s="512">
        <f>'X22.55 POE'!B85</f>
        <v>1492779.1705511957</v>
      </c>
      <c r="D24" s="512">
        <f>'X22.55 POE'!C85</f>
        <v>1589277.1718796906</v>
      </c>
      <c r="E24" s="512">
        <f>'X22.55 POE'!D85</f>
        <v>1375276.2939335254</v>
      </c>
      <c r="F24" s="512">
        <f>'X22.55 POE'!E85</f>
        <v>1277111.4925820839</v>
      </c>
      <c r="G24" s="512">
        <f>'X22.55 POE'!F85</f>
        <v>1376573.1939513797</v>
      </c>
      <c r="H24" s="512">
        <f>'X22.55 POE'!G85</f>
        <v>1209587.6416524781</v>
      </c>
      <c r="I24" s="512">
        <f>'X22.55 POE'!H85</f>
        <v>1281650.8676445775</v>
      </c>
      <c r="J24" s="512">
        <f>'X22.55 POE'!I85</f>
        <v>1309373.7930262408</v>
      </c>
      <c r="K24" s="512">
        <f>'X22.55 POE'!J85</f>
        <v>1327693.5182784498</v>
      </c>
      <c r="L24" s="512">
        <f>'X22.55 POE'!K85</f>
        <v>1310589.6930429805</v>
      </c>
      <c r="M24" s="512">
        <f>'X22.55 POE'!L85</f>
        <v>1337015.4934067861</v>
      </c>
      <c r="N24" s="512">
        <f>'X22.55 POE'!M85</f>
        <v>1456418.2700506127</v>
      </c>
      <c r="O24" s="512">
        <f>SUM(C24:N24)</f>
        <v>16343346.6</v>
      </c>
    </row>
    <row r="25" spans="1:16" x14ac:dyDescent="0.2">
      <c r="A25" s="514" t="s">
        <v>265</v>
      </c>
      <c r="O25" s="509"/>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pageSetUpPr fitToPage="1"/>
  </sheetPr>
  <dimension ref="A1:T31"/>
  <sheetViews>
    <sheetView workbookViewId="0">
      <selection sqref="A1:O1"/>
    </sheetView>
  </sheetViews>
  <sheetFormatPr baseColWidth="10" defaultRowHeight="12.75" x14ac:dyDescent="0.2"/>
  <cols>
    <col min="1" max="1" width="16.42578125" style="500" bestFit="1" customWidth="1"/>
    <col min="2" max="2" width="9.140625" style="500" hidden="1" customWidth="1"/>
    <col min="3" max="10" width="9.7109375" style="500" customWidth="1"/>
    <col min="11" max="11" width="10.42578125" style="500" bestFit="1" customWidth="1"/>
    <col min="12" max="14" width="9.7109375" style="500" customWidth="1"/>
    <col min="15" max="15" width="11.42578125" style="500" bestFit="1" customWidth="1"/>
    <col min="16" max="16" width="12.7109375" style="500" bestFit="1" customWidth="1"/>
    <col min="17" max="19" width="11.42578125" style="500"/>
    <col min="20" max="20" width="11.7109375" style="500" bestFit="1" customWidth="1"/>
    <col min="21" max="16384" width="11.42578125" style="500"/>
  </cols>
  <sheetData>
    <row r="1" spans="1:17" x14ac:dyDescent="0.2">
      <c r="A1" s="1193" t="s">
        <v>440</v>
      </c>
      <c r="B1" s="1193"/>
      <c r="C1" s="1193"/>
      <c r="D1" s="1193"/>
      <c r="E1" s="1193"/>
      <c r="F1" s="1193"/>
      <c r="G1" s="1193"/>
      <c r="H1" s="1193"/>
      <c r="I1" s="1193"/>
      <c r="J1" s="1193"/>
      <c r="K1" s="1193"/>
      <c r="L1" s="1193"/>
      <c r="M1" s="1193"/>
      <c r="N1" s="1193"/>
      <c r="O1" s="1193"/>
    </row>
    <row r="2" spans="1:17" ht="13.5" thickBot="1" x14ac:dyDescent="0.25">
      <c r="O2" s="965" t="s">
        <v>560</v>
      </c>
    </row>
    <row r="3" spans="1:17" ht="34.5" thickBot="1" x14ac:dyDescent="0.25">
      <c r="A3" s="773" t="s">
        <v>288</v>
      </c>
      <c r="B3" s="775" t="s">
        <v>257</v>
      </c>
      <c r="C3" s="773" t="s">
        <v>1</v>
      </c>
      <c r="D3" s="775" t="s">
        <v>2</v>
      </c>
      <c r="E3" s="773" t="s">
        <v>3</v>
      </c>
      <c r="F3" s="775" t="s">
        <v>4</v>
      </c>
      <c r="G3" s="773" t="s">
        <v>5</v>
      </c>
      <c r="H3" s="773" t="s">
        <v>6</v>
      </c>
      <c r="I3" s="773" t="s">
        <v>7</v>
      </c>
      <c r="J3" s="775" t="s">
        <v>8</v>
      </c>
      <c r="K3" s="773" t="s">
        <v>9</v>
      </c>
      <c r="L3" s="775" t="s">
        <v>10</v>
      </c>
      <c r="M3" s="773" t="s">
        <v>11</v>
      </c>
      <c r="N3" s="773" t="s">
        <v>12</v>
      </c>
      <c r="O3" s="776" t="s">
        <v>160</v>
      </c>
    </row>
    <row r="4" spans="1:17" x14ac:dyDescent="0.2">
      <c r="A4" s="505" t="s">
        <v>258</v>
      </c>
      <c r="B4" s="737">
        <f>'CUADRO 6 -FGP'!F8+'CUADRO 6 -FGP'!L8+'CUADRO 6 -FGP'!R8</f>
        <v>3.5382379979592629</v>
      </c>
      <c r="C4" s="507">
        <f>$C$24*B4/100</f>
        <v>86317.947630874347</v>
      </c>
      <c r="D4" s="507">
        <f>$D$24*B4/100</f>
        <v>51446.249750239331</v>
      </c>
      <c r="E4" s="507">
        <f>$E$24*B4/100</f>
        <v>53178.990567537221</v>
      </c>
      <c r="F4" s="507">
        <f>$F$24*B4/100</f>
        <v>32850.78569418189</v>
      </c>
      <c r="G4" s="507">
        <f>$G$24*B4/100</f>
        <v>137733.42369765593</v>
      </c>
      <c r="H4" s="507">
        <f>$H$24*B4/100</f>
        <v>74694.516446216454</v>
      </c>
      <c r="I4" s="507">
        <f>$I$24*B4/100</f>
        <v>86033.480372314414</v>
      </c>
      <c r="J4" s="507">
        <f>$J$24*B4/100</f>
        <v>164642.67149533101</v>
      </c>
      <c r="K4" s="507">
        <f>$K$24*B4/100</f>
        <v>550361.06507926842</v>
      </c>
      <c r="L4" s="507">
        <f>$L$24*B4/100</f>
        <v>42902.172924342791</v>
      </c>
      <c r="M4" s="507">
        <f>$M$24*B4/100</f>
        <v>66351.556606361919</v>
      </c>
      <c r="N4" s="507">
        <f>$N$24*B4/100</f>
        <v>68782.338919381495</v>
      </c>
      <c r="O4" s="508">
        <f>SUM(C4:N4)</f>
        <v>1415295.1991837053</v>
      </c>
      <c r="P4" s="509"/>
      <c r="Q4" s="509"/>
    </row>
    <row r="5" spans="1:17" x14ac:dyDescent="0.2">
      <c r="A5" s="505" t="s">
        <v>141</v>
      </c>
      <c r="B5" s="737">
        <f>'CUADRO 6 -FGP'!F9+'CUADRO 6 -FGP'!L9+'CUADRO 6 -FGP'!R9</f>
        <v>2.8741138571776528</v>
      </c>
      <c r="C5" s="507">
        <f t="shared" ref="C5:C23" si="0">$C$24*B5/100</f>
        <v>70116.145254253526</v>
      </c>
      <c r="D5" s="507">
        <f t="shared" ref="D5:D23" si="1">$D$24*B5/100</f>
        <v>41789.834203427607</v>
      </c>
      <c r="E5" s="507">
        <f t="shared" ref="E5:E23" si="2">$E$24*B5/100</f>
        <v>43197.341102840684</v>
      </c>
      <c r="F5" s="507">
        <f t="shared" ref="F5:F23" si="3">$F$24*B5/100</f>
        <v>26684.722293208673</v>
      </c>
      <c r="G5" s="507">
        <f t="shared" ref="G5:G23" si="4">$G$24*B5/100</f>
        <v>111880.98196737289</v>
      </c>
      <c r="H5" s="507">
        <f t="shared" ref="H5:H23" si="5">$H$24*B5/100</f>
        <v>60674.421815908187</v>
      </c>
      <c r="I5" s="507">
        <f t="shared" ref="I5:I23" si="6">$I$24*B5/100</f>
        <v>69885.072248364158</v>
      </c>
      <c r="J5" s="507">
        <f t="shared" ref="J5:J23" si="7">$J$24*B5/100</f>
        <v>133739.38776882901</v>
      </c>
      <c r="K5" s="507">
        <f t="shared" ref="K5:K23" si="8">$K$24*B5/100</f>
        <v>447058.7802481649</v>
      </c>
      <c r="L5" s="507">
        <f t="shared" ref="L5:L23" si="9">$L$24*B5/100</f>
        <v>34849.47303601513</v>
      </c>
      <c r="M5" s="507">
        <f t="shared" ref="M5:M23" si="10">$M$24*B5/100</f>
        <v>53897.42815425156</v>
      </c>
      <c r="N5" s="507">
        <f t="shared" ref="N5:N23" si="11">$N$24*B5/100</f>
        <v>55871.95477842477</v>
      </c>
      <c r="O5" s="508">
        <f t="shared" ref="O5:O23" si="12">SUM(C5:N5)</f>
        <v>1149645.542871061</v>
      </c>
      <c r="P5" s="509"/>
      <c r="Q5" s="509"/>
    </row>
    <row r="6" spans="1:17" x14ac:dyDescent="0.2">
      <c r="A6" s="505" t="s">
        <v>142</v>
      </c>
      <c r="B6" s="737">
        <f>'CUADRO 6 -FGP'!F10+'CUADRO 6 -FGP'!L10+'CUADRO 6 -FGP'!R10</f>
        <v>2.6500476658644221</v>
      </c>
      <c r="C6" s="507">
        <f t="shared" si="0"/>
        <v>64649.883861215494</v>
      </c>
      <c r="D6" s="507">
        <f t="shared" si="1"/>
        <v>38531.894730296073</v>
      </c>
      <c r="E6" s="507">
        <f t="shared" si="2"/>
        <v>39829.672257154554</v>
      </c>
      <c r="F6" s="507">
        <f t="shared" si="3"/>
        <v>24604.378789920331</v>
      </c>
      <c r="G6" s="507">
        <f t="shared" si="4"/>
        <v>103158.72990793962</v>
      </c>
      <c r="H6" s="507">
        <f t="shared" si="5"/>
        <v>55944.238085548539</v>
      </c>
      <c r="I6" s="507">
        <f t="shared" si="6"/>
        <v>64436.825328975327</v>
      </c>
      <c r="J6" s="507">
        <f t="shared" si="7"/>
        <v>123313.05230160728</v>
      </c>
      <c r="K6" s="507">
        <f t="shared" si="8"/>
        <v>412206.03496349783</v>
      </c>
      <c r="L6" s="507">
        <f t="shared" si="9"/>
        <v>32132.604783578889</v>
      </c>
      <c r="M6" s="507">
        <f t="shared" si="10"/>
        <v>49695.579498206767</v>
      </c>
      <c r="N6" s="507">
        <f t="shared" si="11"/>
        <v>51516.17183782818</v>
      </c>
      <c r="O6" s="508">
        <f t="shared" si="12"/>
        <v>1060019.0663457687</v>
      </c>
      <c r="P6" s="509"/>
      <c r="Q6" s="509"/>
    </row>
    <row r="7" spans="1:17" x14ac:dyDescent="0.2">
      <c r="A7" s="312" t="s">
        <v>349</v>
      </c>
      <c r="B7" s="737">
        <f>'CUADRO 6 -FGP'!F11+'CUADRO 6 -FGP'!L11+'CUADRO 6 -FGP'!R11</f>
        <v>10.821341685981746</v>
      </c>
      <c r="C7" s="507">
        <f t="shared" si="0"/>
        <v>263994.67912704387</v>
      </c>
      <c r="D7" s="507">
        <f t="shared" si="1"/>
        <v>157343.13161827691</v>
      </c>
      <c r="E7" s="507">
        <f t="shared" si="2"/>
        <v>162642.54348600385</v>
      </c>
      <c r="F7" s="507">
        <f t="shared" si="3"/>
        <v>100470.79276598629</v>
      </c>
      <c r="G7" s="507">
        <f t="shared" si="4"/>
        <v>421243.6925588607</v>
      </c>
      <c r="H7" s="507">
        <f t="shared" si="5"/>
        <v>228445.59495429331</v>
      </c>
      <c r="I7" s="507">
        <f t="shared" si="6"/>
        <v>263124.66489817435</v>
      </c>
      <c r="J7" s="507">
        <f t="shared" si="7"/>
        <v>503542.89490176266</v>
      </c>
      <c r="K7" s="507">
        <f t="shared" si="8"/>
        <v>1683223.4404013001</v>
      </c>
      <c r="L7" s="507">
        <f t="shared" si="9"/>
        <v>131211.9401106305</v>
      </c>
      <c r="M7" s="507">
        <f t="shared" si="10"/>
        <v>202929.49932941978</v>
      </c>
      <c r="N7" s="507">
        <f t="shared" si="11"/>
        <v>210363.80024094615</v>
      </c>
      <c r="O7" s="508">
        <f t="shared" si="12"/>
        <v>4328536.6743926983</v>
      </c>
      <c r="P7" s="509"/>
      <c r="Q7" s="509"/>
    </row>
    <row r="8" spans="1:17" x14ac:dyDescent="0.2">
      <c r="A8" s="505" t="s">
        <v>144</v>
      </c>
      <c r="B8" s="737">
        <f>'CUADRO 6 -FGP'!F12+'CUADRO 6 -FGP'!L12+'CUADRO 6 -FGP'!R12</f>
        <v>5.6495036228011593</v>
      </c>
      <c r="C8" s="507">
        <f t="shared" si="0"/>
        <v>137823.84286603885</v>
      </c>
      <c r="D8" s="507">
        <f t="shared" si="1"/>
        <v>82144.212602754546</v>
      </c>
      <c r="E8" s="507">
        <f t="shared" si="2"/>
        <v>84910.879381627514</v>
      </c>
      <c r="F8" s="507">
        <f t="shared" si="3"/>
        <v>52452.840339792732</v>
      </c>
      <c r="G8" s="507">
        <f t="shared" si="4"/>
        <v>219918.91913701425</v>
      </c>
      <c r="H8" s="507">
        <f t="shared" si="5"/>
        <v>119264.71354094004</v>
      </c>
      <c r="I8" s="507">
        <f t="shared" si="6"/>
        <v>137369.6340737729</v>
      </c>
      <c r="J8" s="507">
        <f t="shared" si="7"/>
        <v>262884.90757744754</v>
      </c>
      <c r="K8" s="507">
        <f t="shared" si="8"/>
        <v>878761.35884792148</v>
      </c>
      <c r="L8" s="507">
        <f t="shared" si="9"/>
        <v>68501.887521956043</v>
      </c>
      <c r="M8" s="507">
        <f t="shared" si="10"/>
        <v>105943.51189556517</v>
      </c>
      <c r="N8" s="507">
        <f t="shared" si="11"/>
        <v>109824.74133563269</v>
      </c>
      <c r="O8" s="508">
        <f t="shared" si="12"/>
        <v>2259801.4491204638</v>
      </c>
      <c r="P8" s="509"/>
      <c r="Q8" s="509"/>
    </row>
    <row r="9" spans="1:17" x14ac:dyDescent="0.2">
      <c r="A9" s="505" t="s">
        <v>260</v>
      </c>
      <c r="B9" s="737">
        <f>'CUADRO 6 -FGP'!F13+'CUADRO 6 -FGP'!L13+'CUADRO 6 -FGP'!R13</f>
        <v>5.2511692356964428</v>
      </c>
      <c r="C9" s="507">
        <f t="shared" si="0"/>
        <v>128106.17921946885</v>
      </c>
      <c r="D9" s="507">
        <f t="shared" si="1"/>
        <v>76352.400301005124</v>
      </c>
      <c r="E9" s="507">
        <f t="shared" si="2"/>
        <v>78923.995337426677</v>
      </c>
      <c r="F9" s="507">
        <f t="shared" si="3"/>
        <v>48754.503033781191</v>
      </c>
      <c r="G9" s="507">
        <f t="shared" si="4"/>
        <v>204412.9076860933</v>
      </c>
      <c r="H9" s="507">
        <f t="shared" si="5"/>
        <v>110855.61430967081</v>
      </c>
      <c r="I9" s="507">
        <f t="shared" si="6"/>
        <v>127683.99571525733</v>
      </c>
      <c r="J9" s="507">
        <f t="shared" si="7"/>
        <v>244349.45640677959</v>
      </c>
      <c r="K9" s="507">
        <f t="shared" si="8"/>
        <v>816801.779624847</v>
      </c>
      <c r="L9" s="507">
        <f t="shared" si="9"/>
        <v>63671.966310569122</v>
      </c>
      <c r="M9" s="507">
        <f t="shared" si="10"/>
        <v>98473.662029761035</v>
      </c>
      <c r="N9" s="507">
        <f t="shared" si="11"/>
        <v>102081.23430391714</v>
      </c>
      <c r="O9" s="508">
        <f t="shared" si="12"/>
        <v>2100467.6942785773</v>
      </c>
      <c r="P9" s="509"/>
      <c r="Q9" s="509"/>
    </row>
    <row r="10" spans="1:17" x14ac:dyDescent="0.2">
      <c r="A10" s="505" t="s">
        <v>146</v>
      </c>
      <c r="B10" s="737">
        <f>'CUADRO 6 -FGP'!F14+'CUADRO 6 -FGP'!L14+'CUADRO 6 -FGP'!R14</f>
        <v>2.6896373379327465</v>
      </c>
      <c r="C10" s="507">
        <f t="shared" si="0"/>
        <v>65615.703357328559</v>
      </c>
      <c r="D10" s="507">
        <f t="shared" si="1"/>
        <v>39107.531574943554</v>
      </c>
      <c r="E10" s="507">
        <f t="shared" si="2"/>
        <v>40424.696898998205</v>
      </c>
      <c r="F10" s="507">
        <f t="shared" si="3"/>
        <v>24971.949268098902</v>
      </c>
      <c r="G10" s="507">
        <f t="shared" si="4"/>
        <v>104699.84191911094</v>
      </c>
      <c r="H10" s="507">
        <f t="shared" si="5"/>
        <v>56780.001935553366</v>
      </c>
      <c r="I10" s="507">
        <f t="shared" si="6"/>
        <v>65399.461894633445</v>
      </c>
      <c r="J10" s="507">
        <f t="shared" si="7"/>
        <v>125155.25437413956</v>
      </c>
      <c r="K10" s="507">
        <f t="shared" si="8"/>
        <v>418364.0758014032</v>
      </c>
      <c r="L10" s="507">
        <f t="shared" si="9"/>
        <v>32612.64116272379</v>
      </c>
      <c r="M10" s="507">
        <f t="shared" si="10"/>
        <v>50437.993199259043</v>
      </c>
      <c r="N10" s="507">
        <f t="shared" si="11"/>
        <v>52285.783786906002</v>
      </c>
      <c r="O10" s="508">
        <f t="shared" si="12"/>
        <v>1075854.9351730985</v>
      </c>
      <c r="P10" s="509"/>
      <c r="Q10" s="509"/>
    </row>
    <row r="11" spans="1:17" x14ac:dyDescent="0.2">
      <c r="A11" s="505" t="s">
        <v>147</v>
      </c>
      <c r="B11" s="737">
        <f>'CUADRO 6 -FGP'!F15+'CUADRO 6 -FGP'!L15+'CUADRO 6 -FGP'!R15</f>
        <v>3.2966407951075847</v>
      </c>
      <c r="C11" s="507">
        <f t="shared" si="0"/>
        <v>80424.004172140121</v>
      </c>
      <c r="D11" s="507">
        <f t="shared" si="1"/>
        <v>47933.408035228793</v>
      </c>
      <c r="E11" s="507">
        <f t="shared" si="2"/>
        <v>49547.834218246127</v>
      </c>
      <c r="F11" s="507">
        <f t="shared" si="3"/>
        <v>30607.675439933344</v>
      </c>
      <c r="G11" s="507">
        <f t="shared" si="4"/>
        <v>128328.7398059191</v>
      </c>
      <c r="H11" s="507">
        <f t="shared" si="5"/>
        <v>69594.241605413525</v>
      </c>
      <c r="I11" s="507">
        <f t="shared" si="6"/>
        <v>80158.960845495065</v>
      </c>
      <c r="J11" s="507">
        <f t="shared" si="7"/>
        <v>153400.57615684846</v>
      </c>
      <c r="K11" s="507">
        <f t="shared" si="8"/>
        <v>512781.4296906055</v>
      </c>
      <c r="L11" s="507">
        <f t="shared" si="9"/>
        <v>39972.736017962146</v>
      </c>
      <c r="M11" s="507">
        <f t="shared" si="10"/>
        <v>61820.953947581591</v>
      </c>
      <c r="N11" s="507">
        <f t="shared" si="11"/>
        <v>64085.758107660193</v>
      </c>
      <c r="O11" s="508">
        <f t="shared" si="12"/>
        <v>1318656.3180430338</v>
      </c>
      <c r="P11" s="509"/>
      <c r="Q11" s="509"/>
    </row>
    <row r="12" spans="1:17" x14ac:dyDescent="0.2">
      <c r="A12" s="505" t="s">
        <v>148</v>
      </c>
      <c r="B12" s="737">
        <f>'CUADRO 6 -FGP'!F16+'CUADRO 6 -FGP'!L16+'CUADRO 6 -FGP'!R16</f>
        <v>2.9179725284992895</v>
      </c>
      <c r="C12" s="507">
        <f t="shared" si="0"/>
        <v>71186.11016234741</v>
      </c>
      <c r="D12" s="507">
        <f t="shared" si="1"/>
        <v>42427.542622089088</v>
      </c>
      <c r="E12" s="507">
        <f t="shared" si="2"/>
        <v>43856.527926865325</v>
      </c>
      <c r="F12" s="507">
        <f t="shared" si="3"/>
        <v>27091.928313055178</v>
      </c>
      <c r="G12" s="507">
        <f t="shared" si="4"/>
        <v>113588.2738350888</v>
      </c>
      <c r="H12" s="507">
        <f t="shared" si="5"/>
        <v>61600.307030026823</v>
      </c>
      <c r="I12" s="507">
        <f t="shared" si="6"/>
        <v>70951.511007001129</v>
      </c>
      <c r="J12" s="507">
        <f t="shared" si="7"/>
        <v>135780.23658080681</v>
      </c>
      <c r="K12" s="507">
        <f t="shared" si="8"/>
        <v>453880.84961587266</v>
      </c>
      <c r="L12" s="507">
        <f t="shared" si="9"/>
        <v>35381.272282520891</v>
      </c>
      <c r="M12" s="507">
        <f t="shared" si="10"/>
        <v>54719.897166951057</v>
      </c>
      <c r="N12" s="507">
        <f t="shared" si="11"/>
        <v>56724.554857090625</v>
      </c>
      <c r="O12" s="508">
        <f t="shared" si="12"/>
        <v>1167189.0113997157</v>
      </c>
      <c r="P12" s="509"/>
      <c r="Q12" s="509"/>
    </row>
    <row r="13" spans="1:17" x14ac:dyDescent="0.2">
      <c r="A13" s="505" t="s">
        <v>149</v>
      </c>
      <c r="B13" s="737">
        <f>'CUADRO 6 -FGP'!F17+'CUADRO 6 -FGP'!L17+'CUADRO 6 -FGP'!R17</f>
        <v>2.7163014877407865</v>
      </c>
      <c r="C13" s="507">
        <f t="shared" si="0"/>
        <v>66266.19512415705</v>
      </c>
      <c r="D13" s="507">
        <f t="shared" si="1"/>
        <v>39495.230342294257</v>
      </c>
      <c r="E13" s="507">
        <f t="shared" si="2"/>
        <v>40825.453595396524</v>
      </c>
      <c r="F13" s="507">
        <f t="shared" si="3"/>
        <v>25219.512680047643</v>
      </c>
      <c r="G13" s="507">
        <f t="shared" si="4"/>
        <v>105737.80054291373</v>
      </c>
      <c r="H13" s="507">
        <f t="shared" si="5"/>
        <v>57342.899563556268</v>
      </c>
      <c r="I13" s="507">
        <f t="shared" si="6"/>
        <v>66047.809917145656</v>
      </c>
      <c r="J13" s="507">
        <f t="shared" si="7"/>
        <v>126396.00100002496</v>
      </c>
      <c r="K13" s="507">
        <f t="shared" si="8"/>
        <v>422511.59496101039</v>
      </c>
      <c r="L13" s="507">
        <f t="shared" si="9"/>
        <v>32935.95179547515</v>
      </c>
      <c r="M13" s="507">
        <f t="shared" si="10"/>
        <v>50938.018309601845</v>
      </c>
      <c r="N13" s="507">
        <f t="shared" si="11"/>
        <v>52804.127264691153</v>
      </c>
      <c r="O13" s="508">
        <f t="shared" si="12"/>
        <v>1086520.5950963143</v>
      </c>
      <c r="P13" s="509"/>
      <c r="Q13" s="509"/>
    </row>
    <row r="14" spans="1:17" x14ac:dyDescent="0.2">
      <c r="A14" s="505" t="s">
        <v>150</v>
      </c>
      <c r="B14" s="737">
        <f>'CUADRO 6 -FGP'!F18+'CUADRO 6 -FGP'!L18+'CUADRO 6 -FGP'!R18</f>
        <v>3.6874229717778886</v>
      </c>
      <c r="C14" s="507">
        <f t="shared" si="0"/>
        <v>89957.426027979527</v>
      </c>
      <c r="D14" s="507">
        <f t="shared" si="1"/>
        <v>53615.410622538657</v>
      </c>
      <c r="E14" s="507">
        <f t="shared" si="2"/>
        <v>55421.210090388638</v>
      </c>
      <c r="F14" s="507">
        <f t="shared" si="3"/>
        <v>34235.894216145214</v>
      </c>
      <c r="G14" s="507">
        <f t="shared" si="4"/>
        <v>143540.76543671809</v>
      </c>
      <c r="H14" s="507">
        <f t="shared" si="5"/>
        <v>77843.90873889174</v>
      </c>
      <c r="I14" s="507">
        <f t="shared" si="6"/>
        <v>89660.964595894548</v>
      </c>
      <c r="J14" s="507">
        <f t="shared" si="7"/>
        <v>171584.60492395461</v>
      </c>
      <c r="K14" s="507">
        <f t="shared" si="8"/>
        <v>573566.2878856475</v>
      </c>
      <c r="L14" s="507">
        <f t="shared" si="9"/>
        <v>44711.084463976847</v>
      </c>
      <c r="M14" s="507">
        <f t="shared" si="10"/>
        <v>69149.179389468773</v>
      </c>
      <c r="N14" s="507">
        <f t="shared" si="11"/>
        <v>71682.452319551332</v>
      </c>
      <c r="O14" s="508">
        <f t="shared" si="12"/>
        <v>1474969.1887111554</v>
      </c>
      <c r="P14" s="509"/>
      <c r="Q14" s="509"/>
    </row>
    <row r="15" spans="1:17" x14ac:dyDescent="0.2">
      <c r="A15" s="505" t="s">
        <v>151</v>
      </c>
      <c r="B15" s="737">
        <f>'CUADRO 6 -FGP'!F19+'CUADRO 6 -FGP'!L19+'CUADRO 6 -FGP'!R19</f>
        <v>3.0199463386419172</v>
      </c>
      <c r="C15" s="507">
        <f t="shared" si="0"/>
        <v>73673.837106857332</v>
      </c>
      <c r="D15" s="507">
        <f t="shared" si="1"/>
        <v>43910.249581769851</v>
      </c>
      <c r="E15" s="507">
        <f t="shared" si="2"/>
        <v>45389.173354006838</v>
      </c>
      <c r="F15" s="507">
        <f t="shared" si="3"/>
        <v>28038.704585693358</v>
      </c>
      <c r="G15" s="507">
        <f t="shared" si="4"/>
        <v>117557.8208261447</v>
      </c>
      <c r="H15" s="507">
        <f t="shared" si="5"/>
        <v>63753.040804062104</v>
      </c>
      <c r="I15" s="507">
        <f t="shared" si="6"/>
        <v>73431.039461123204</v>
      </c>
      <c r="J15" s="507">
        <f t="shared" si="7"/>
        <v>140525.32171474167</v>
      </c>
      <c r="K15" s="507">
        <f t="shared" si="8"/>
        <v>469742.53410195222</v>
      </c>
      <c r="L15" s="507">
        <f t="shared" si="9"/>
        <v>36617.734623102959</v>
      </c>
      <c r="M15" s="507">
        <f t="shared" si="10"/>
        <v>56632.182615229955</v>
      </c>
      <c r="N15" s="507">
        <f t="shared" si="11"/>
        <v>58706.896682082705</v>
      </c>
      <c r="O15" s="508">
        <f t="shared" si="12"/>
        <v>1207978.5354567668</v>
      </c>
      <c r="P15" s="509"/>
      <c r="Q15" s="509"/>
    </row>
    <row r="16" spans="1:17" x14ac:dyDescent="0.2">
      <c r="A16" s="505" t="s">
        <v>152</v>
      </c>
      <c r="B16" s="737">
        <f>'CUADRO 6 -FGP'!F20+'CUADRO 6 -FGP'!L20+'CUADRO 6 -FGP'!R20</f>
        <v>3.8781030658324123</v>
      </c>
      <c r="C16" s="507">
        <f t="shared" si="0"/>
        <v>94609.208746480013</v>
      </c>
      <c r="D16" s="507">
        <f t="shared" si="1"/>
        <v>56387.913700846591</v>
      </c>
      <c r="E16" s="507">
        <f t="shared" si="2"/>
        <v>58287.092749777621</v>
      </c>
      <c r="F16" s="507">
        <f t="shared" si="3"/>
        <v>36006.264357878033</v>
      </c>
      <c r="G16" s="507">
        <f t="shared" si="4"/>
        <v>150963.39280103566</v>
      </c>
      <c r="H16" s="507">
        <f t="shared" si="5"/>
        <v>81869.290137637814</v>
      </c>
      <c r="I16" s="507">
        <f t="shared" si="6"/>
        <v>94297.417016193212</v>
      </c>
      <c r="J16" s="507">
        <f t="shared" si="7"/>
        <v>180457.4054829404</v>
      </c>
      <c r="K16" s="507">
        <f t="shared" si="8"/>
        <v>603225.93760785111</v>
      </c>
      <c r="L16" s="507">
        <f t="shared" si="9"/>
        <v>47023.136500350724</v>
      </c>
      <c r="M16" s="507">
        <f t="shared" si="10"/>
        <v>72724.94819350692</v>
      </c>
      <c r="N16" s="507">
        <f t="shared" si="11"/>
        <v>75389.219038466879</v>
      </c>
      <c r="O16" s="508">
        <f t="shared" si="12"/>
        <v>1551241.2263329648</v>
      </c>
      <c r="P16" s="509"/>
      <c r="Q16" s="509"/>
    </row>
    <row r="17" spans="1:20" x14ac:dyDescent="0.2">
      <c r="A17" s="505" t="s">
        <v>261</v>
      </c>
      <c r="B17" s="737">
        <f>'CUADRO 6 -FGP'!F21+'CUADRO 6 -FGP'!L21+'CUADRO 6 -FGP'!R21</f>
        <v>2.608013640991425</v>
      </c>
      <c r="C17" s="507">
        <f t="shared" si="0"/>
        <v>63624.432560371708</v>
      </c>
      <c r="D17" s="507">
        <f t="shared" si="1"/>
        <v>37920.716809853402</v>
      </c>
      <c r="E17" s="507">
        <f t="shared" si="2"/>
        <v>39197.909494580075</v>
      </c>
      <c r="F17" s="507">
        <f t="shared" si="3"/>
        <v>24214.113707762725</v>
      </c>
      <c r="G17" s="507">
        <f t="shared" si="4"/>
        <v>101522.46627590313</v>
      </c>
      <c r="H17" s="507">
        <f t="shared" si="5"/>
        <v>55056.872350403639</v>
      </c>
      <c r="I17" s="507">
        <f t="shared" si="6"/>
        <v>63414.753479663283</v>
      </c>
      <c r="J17" s="507">
        <f t="shared" si="7"/>
        <v>121357.10865033706</v>
      </c>
      <c r="K17" s="507">
        <f t="shared" si="8"/>
        <v>405667.78323706955</v>
      </c>
      <c r="L17" s="507">
        <f t="shared" si="9"/>
        <v>31622.929910139748</v>
      </c>
      <c r="M17" s="507">
        <f t="shared" si="10"/>
        <v>48907.327554057585</v>
      </c>
      <c r="N17" s="507">
        <f t="shared" si="11"/>
        <v>50699.042366428075</v>
      </c>
      <c r="O17" s="508">
        <f t="shared" si="12"/>
        <v>1043205.4563965701</v>
      </c>
      <c r="P17" s="509"/>
      <c r="Q17" s="509"/>
    </row>
    <row r="18" spans="1:20" x14ac:dyDescent="0.2">
      <c r="A18" s="505" t="s">
        <v>262</v>
      </c>
      <c r="B18" s="737">
        <f>'CUADRO 6 -FGP'!F22+'CUADRO 6 -FGP'!L22+'CUADRO 6 -FGP'!R22</f>
        <v>3.0247319555730172</v>
      </c>
      <c r="C18" s="507">
        <f t="shared" si="0"/>
        <v>73790.585791337682</v>
      </c>
      <c r="D18" s="507">
        <f t="shared" si="1"/>
        <v>43979.832816133487</v>
      </c>
      <c r="E18" s="507">
        <f t="shared" si="2"/>
        <v>45461.100193802697</v>
      </c>
      <c r="F18" s="507">
        <f t="shared" si="3"/>
        <v>28083.136666381171</v>
      </c>
      <c r="G18" s="507">
        <f t="shared" si="4"/>
        <v>117744.11112227685</v>
      </c>
      <c r="H18" s="507">
        <f t="shared" si="5"/>
        <v>63854.068304973996</v>
      </c>
      <c r="I18" s="507">
        <f t="shared" si="6"/>
        <v>73547.40339157352</v>
      </c>
      <c r="J18" s="507">
        <f t="shared" si="7"/>
        <v>140748.00790960592</v>
      </c>
      <c r="K18" s="507">
        <f t="shared" si="8"/>
        <v>470486.92078051396</v>
      </c>
      <c r="L18" s="507">
        <f t="shared" si="9"/>
        <v>36675.761631248293</v>
      </c>
      <c r="M18" s="507">
        <f t="shared" si="10"/>
        <v>56721.92590917553</v>
      </c>
      <c r="N18" s="507">
        <f t="shared" si="11"/>
        <v>58799.927712183875</v>
      </c>
      <c r="O18" s="508">
        <f t="shared" si="12"/>
        <v>1209892.782229207</v>
      </c>
      <c r="P18" s="509"/>
      <c r="Q18" s="509"/>
    </row>
    <row r="19" spans="1:20" x14ac:dyDescent="0.2">
      <c r="A19" s="505" t="s">
        <v>263</v>
      </c>
      <c r="B19" s="737">
        <f>'CUADRO 6 -FGP'!F23+'CUADRO 6 -FGP'!L23+'CUADRO 6 -FGP'!R23</f>
        <v>7.0312960513371801</v>
      </c>
      <c r="C19" s="507">
        <f t="shared" si="0"/>
        <v>171533.69690974758</v>
      </c>
      <c r="D19" s="507">
        <f t="shared" si="1"/>
        <v>102235.57966807211</v>
      </c>
      <c r="E19" s="507">
        <f t="shared" si="2"/>
        <v>105678.93584526663</v>
      </c>
      <c r="F19" s="507">
        <f t="shared" si="3"/>
        <v>65282.098001335311</v>
      </c>
      <c r="G19" s="507">
        <f t="shared" si="4"/>
        <v>273708.12216166506</v>
      </c>
      <c r="H19" s="507">
        <f t="shared" si="5"/>
        <v>148435.25473632335</v>
      </c>
      <c r="I19" s="507">
        <f t="shared" si="6"/>
        <v>170968.39476981218</v>
      </c>
      <c r="J19" s="507">
        <f t="shared" si="7"/>
        <v>327183.01217567053</v>
      </c>
      <c r="K19" s="507">
        <f t="shared" si="8"/>
        <v>1093694.5411624452</v>
      </c>
      <c r="L19" s="507">
        <f t="shared" si="9"/>
        <v>85256.525776587805</v>
      </c>
      <c r="M19" s="507">
        <f t="shared" si="10"/>
        <v>131855.8667436931</v>
      </c>
      <c r="N19" s="507">
        <f t="shared" si="11"/>
        <v>136686.39258425345</v>
      </c>
      <c r="O19" s="508">
        <f t="shared" si="12"/>
        <v>2812518.4205348724</v>
      </c>
      <c r="P19" s="509"/>
      <c r="Q19" s="509"/>
    </row>
    <row r="20" spans="1:20" x14ac:dyDescent="0.2">
      <c r="A20" s="505" t="s">
        <v>156</v>
      </c>
      <c r="B20" s="737">
        <f>'CUADRO 6 -FGP'!F24+'CUADRO 6 -FGP'!L24+'CUADRO 6 -FGP'!R24</f>
        <v>3.4747933905881783</v>
      </c>
      <c r="C20" s="507">
        <f t="shared" si="0"/>
        <v>84770.169245226658</v>
      </c>
      <c r="D20" s="507">
        <f t="shared" si="1"/>
        <v>50523.760330929144</v>
      </c>
      <c r="E20" s="507">
        <f t="shared" si="2"/>
        <v>52225.431146465497</v>
      </c>
      <c r="F20" s="507">
        <f t="shared" si="3"/>
        <v>32261.733968039924</v>
      </c>
      <c r="G20" s="507">
        <f t="shared" si="4"/>
        <v>135263.70769963291</v>
      </c>
      <c r="H20" s="507">
        <f t="shared" si="5"/>
        <v>73355.159322293053</v>
      </c>
      <c r="I20" s="507">
        <f t="shared" si="6"/>
        <v>84490.802806210166</v>
      </c>
      <c r="J20" s="507">
        <f t="shared" si="7"/>
        <v>161690.44226270946</v>
      </c>
      <c r="K20" s="507">
        <f t="shared" si="8"/>
        <v>540492.46898527315</v>
      </c>
      <c r="L20" s="507">
        <f t="shared" si="9"/>
        <v>42132.888461816183</v>
      </c>
      <c r="M20" s="507">
        <f t="shared" si="10"/>
        <v>65161.798184294523</v>
      </c>
      <c r="N20" s="507">
        <f t="shared" si="11"/>
        <v>67548.993822380682</v>
      </c>
      <c r="O20" s="508">
        <f t="shared" si="12"/>
        <v>1389917.3562352713</v>
      </c>
      <c r="P20" s="509"/>
      <c r="Q20" s="509"/>
    </row>
    <row r="21" spans="1:20" x14ac:dyDescent="0.2">
      <c r="A21" s="505" t="s">
        <v>157</v>
      </c>
      <c r="B21" s="737">
        <f>'CUADRO 6 -FGP'!F25+'CUADRO 6 -FGP'!L25+'CUADRO 6 -FGP'!R25</f>
        <v>22.151634456873566</v>
      </c>
      <c r="C21" s="507">
        <f t="shared" si="0"/>
        <v>540405.59851810697</v>
      </c>
      <c r="D21" s="507">
        <f t="shared" si="1"/>
        <v>322086.45074232382</v>
      </c>
      <c r="E21" s="507">
        <f t="shared" si="2"/>
        <v>332934.51727019035</v>
      </c>
      <c r="F21" s="507">
        <f t="shared" si="3"/>
        <v>205666.94403777274</v>
      </c>
      <c r="G21" s="507">
        <f t="shared" si="4"/>
        <v>862299.38630580762</v>
      </c>
      <c r="H21" s="507">
        <f t="shared" si="5"/>
        <v>467635.47992075124</v>
      </c>
      <c r="I21" s="507">
        <f t="shared" si="6"/>
        <v>538624.65141104336</v>
      </c>
      <c r="J21" s="507">
        <f t="shared" si="7"/>
        <v>1030768.5003301693</v>
      </c>
      <c r="K21" s="507">
        <f t="shared" si="8"/>
        <v>3445612.5167281413</v>
      </c>
      <c r="L21" s="507">
        <f t="shared" si="9"/>
        <v>268595.06131971668</v>
      </c>
      <c r="M21" s="507">
        <f t="shared" si="10"/>
        <v>415403.21155230724</v>
      </c>
      <c r="N21" s="507">
        <f t="shared" si="11"/>
        <v>430621.46461309609</v>
      </c>
      <c r="O21" s="508">
        <f t="shared" si="12"/>
        <v>8860653.7827494275</v>
      </c>
      <c r="P21" s="509"/>
      <c r="Q21" s="509"/>
      <c r="T21" s="509"/>
    </row>
    <row r="22" spans="1:20" x14ac:dyDescent="0.2">
      <c r="A22" s="505" t="s">
        <v>158</v>
      </c>
      <c r="B22" s="737">
        <f>'CUADRO 6 -FGP'!F26+'CUADRO 6 -FGP'!L26+'CUADRO 6 -FGP'!R26</f>
        <v>3.6736649788182842</v>
      </c>
      <c r="C22" s="507">
        <f t="shared" si="0"/>
        <v>89621.789556809992</v>
      </c>
      <c r="D22" s="507">
        <f t="shared" si="1"/>
        <v>53415.368357922744</v>
      </c>
      <c r="E22" s="507">
        <f t="shared" si="2"/>
        <v>55214.430281272063</v>
      </c>
      <c r="F22" s="507">
        <f t="shared" si="3"/>
        <v>34108.158072177874</v>
      </c>
      <c r="G22" s="507">
        <f t="shared" si="4"/>
        <v>143005.20636052609</v>
      </c>
      <c r="H22" s="507">
        <f t="shared" si="5"/>
        <v>77553.468516390945</v>
      </c>
      <c r="I22" s="507">
        <f t="shared" si="6"/>
        <v>89326.434239842973</v>
      </c>
      <c r="J22" s="507">
        <f t="shared" si="7"/>
        <v>170944.41262581362</v>
      </c>
      <c r="K22" s="507">
        <f t="shared" si="8"/>
        <v>571426.27817941282</v>
      </c>
      <c r="L22" s="507">
        <f t="shared" si="9"/>
        <v>44544.264766323584</v>
      </c>
      <c r="M22" s="507">
        <f t="shared" si="10"/>
        <v>68891.179715852792</v>
      </c>
      <c r="N22" s="507">
        <f t="shared" si="11"/>
        <v>71415.000854968181</v>
      </c>
      <c r="O22" s="508">
        <f t="shared" si="12"/>
        <v>1469465.9915273136</v>
      </c>
      <c r="P22" s="509"/>
      <c r="Q22" s="509"/>
      <c r="T22" s="509"/>
    </row>
    <row r="23" spans="1:20" ht="13.5" thickBot="1" x14ac:dyDescent="0.25">
      <c r="A23" s="505" t="s">
        <v>159</v>
      </c>
      <c r="B23" s="737">
        <f>'CUADRO 6 -FGP'!F27+'CUADRO 6 -FGP'!L27+'CUADRO 6 -FGP'!R27</f>
        <v>5.0454269348050316</v>
      </c>
      <c r="C23" s="507">
        <f t="shared" si="0"/>
        <v>123086.94276221431</v>
      </c>
      <c r="D23" s="507">
        <f t="shared" si="1"/>
        <v>73360.891589054896</v>
      </c>
      <c r="E23" s="507">
        <f t="shared" si="2"/>
        <v>75831.73080215283</v>
      </c>
      <c r="F23" s="507">
        <f t="shared" si="3"/>
        <v>46844.287768807524</v>
      </c>
      <c r="G23" s="507">
        <f t="shared" si="4"/>
        <v>196403.95195232087</v>
      </c>
      <c r="H23" s="507">
        <f t="shared" si="5"/>
        <v>106512.25988114465</v>
      </c>
      <c r="I23" s="507">
        <f t="shared" si="6"/>
        <v>122681.30052750988</v>
      </c>
      <c r="J23" s="507">
        <f t="shared" si="7"/>
        <v>234775.77536048039</v>
      </c>
      <c r="K23" s="507">
        <f t="shared" si="8"/>
        <v>784799.2540978007</v>
      </c>
      <c r="L23" s="507">
        <f t="shared" si="9"/>
        <v>61177.280600962673</v>
      </c>
      <c r="M23" s="507">
        <f t="shared" si="10"/>
        <v>94615.436005453666</v>
      </c>
      <c r="N23" s="507">
        <f t="shared" si="11"/>
        <v>98081.662574110262</v>
      </c>
      <c r="O23" s="508">
        <f t="shared" si="12"/>
        <v>2018170.7739220127</v>
      </c>
      <c r="P23" s="509"/>
      <c r="Q23" s="509"/>
      <c r="T23" s="509"/>
    </row>
    <row r="24" spans="1:20" ht="13.5" thickBot="1" x14ac:dyDescent="0.25">
      <c r="A24" s="510" t="s">
        <v>264</v>
      </c>
      <c r="B24" s="738">
        <f>SUM(B4:B23)</f>
        <v>99.999999999999986</v>
      </c>
      <c r="C24" s="512">
        <f>'X22.55 POE'!B140</f>
        <v>2439574.378</v>
      </c>
      <c r="D24" s="512">
        <f>'X22.55 POE'!C140</f>
        <v>1454007.61</v>
      </c>
      <c r="E24" s="512">
        <f>'X22.55 POE'!D140</f>
        <v>1502979.466</v>
      </c>
      <c r="F24" s="512">
        <f>'X22.55 POE'!E140</f>
        <v>928450.42400000012</v>
      </c>
      <c r="G24" s="512">
        <f>'X22.55 POE'!F140</f>
        <v>3892712.2420000006</v>
      </c>
      <c r="H24" s="512">
        <f>'X22.55 POE'!G140</f>
        <v>2111065.352</v>
      </c>
      <c r="I24" s="512">
        <f>'X22.55 POE'!H140</f>
        <v>2431534.5780000002</v>
      </c>
      <c r="J24" s="512">
        <f>'X22.55 POE'!I140</f>
        <v>4653239.03</v>
      </c>
      <c r="K24" s="512">
        <f>'X22.55 POE'!J140</f>
        <v>15554664.932</v>
      </c>
      <c r="L24" s="512">
        <f>'X22.55 POE'!K140</f>
        <v>1212529.314</v>
      </c>
      <c r="M24" s="512">
        <f>'X22.55 POE'!L140</f>
        <v>1875271.156</v>
      </c>
      <c r="N24" s="512">
        <f>'X22.55 POE'!M140</f>
        <v>1943971.5180000002</v>
      </c>
      <c r="O24" s="512">
        <f>SUM(C24:N24)</f>
        <v>40000000.000000007</v>
      </c>
      <c r="P24" s="509"/>
      <c r="Q24" s="509"/>
      <c r="T24" s="509"/>
    </row>
    <row r="25" spans="1:20" x14ac:dyDescent="0.2">
      <c r="A25" s="514" t="s">
        <v>265</v>
      </c>
    </row>
    <row r="31" spans="1:20" x14ac:dyDescent="0.2">
      <c r="C31" s="613"/>
    </row>
  </sheetData>
  <mergeCells count="1">
    <mergeCell ref="A1:O1"/>
  </mergeCells>
  <printOptions horizontalCentered="1"/>
  <pageMargins left="0.78740157480314965" right="0.78740157480314965" top="0.98425196850393704" bottom="0.98425196850393704" header="0" footer="0"/>
  <pageSetup paperSize="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7030A0"/>
  </sheetPr>
  <dimension ref="A1:O32"/>
  <sheetViews>
    <sheetView workbookViewId="0">
      <selection activeCell="C32" sqref="C32"/>
    </sheetView>
  </sheetViews>
  <sheetFormatPr baseColWidth="10" defaultRowHeight="12.75" x14ac:dyDescent="0.2"/>
  <cols>
    <col min="1" max="1" width="15.42578125" style="500" customWidth="1"/>
    <col min="2" max="2" width="9.28515625" style="500" customWidth="1"/>
    <col min="3" max="3" width="11.7109375" style="500" bestFit="1" customWidth="1"/>
    <col min="4" max="5" width="10.85546875" style="500" bestFit="1" customWidth="1"/>
    <col min="6" max="6" width="11.7109375" style="500" bestFit="1" customWidth="1"/>
    <col min="7" max="8" width="10.85546875" style="500" bestFit="1" customWidth="1"/>
    <col min="9" max="9" width="11.7109375" style="500" bestFit="1" customWidth="1"/>
    <col min="10" max="11" width="10.85546875" style="500" bestFit="1" customWidth="1"/>
    <col min="12" max="12" width="11.7109375" style="500" bestFit="1" customWidth="1"/>
    <col min="13" max="14" width="10.85546875" style="500" bestFit="1" customWidth="1"/>
    <col min="15" max="15" width="13"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293</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31">
        <f>'CUADRO10 -FOFIR'!I8</f>
        <v>0.18069436310796558</v>
      </c>
      <c r="C7" s="532">
        <f t="shared" ref="C7:C26" si="0">$C$32*B7/100</f>
        <v>18106.940208652537</v>
      </c>
      <c r="D7" s="533">
        <f t="shared" ref="D7:D26" si="1">$D$32*B7/100</f>
        <v>958.49752149327094</v>
      </c>
      <c r="E7" s="532">
        <f t="shared" ref="E7:E26" si="2">$E$32*B7/100</f>
        <v>958.49752149327094</v>
      </c>
      <c r="F7" s="533">
        <f t="shared" ref="F7:F26" si="3">$F$32*B7/100</f>
        <v>25997.949290942528</v>
      </c>
      <c r="G7" s="532">
        <f t="shared" ref="G7:G26" si="4">$G$32*B7/100</f>
        <v>958.49752149327094</v>
      </c>
      <c r="H7" s="532">
        <f t="shared" ref="H7:H26" si="5">$H$32*B7/100</f>
        <v>958.49752149327094</v>
      </c>
      <c r="I7" s="534">
        <f t="shared" ref="I7:I26" si="6">$I$32*B7/100</f>
        <v>28745.740787839284</v>
      </c>
      <c r="J7" s="533">
        <f t="shared" ref="J7:J26" si="7">$J$32*B7/100</f>
        <v>958.49752149327003</v>
      </c>
      <c r="K7" s="532">
        <f t="shared" ref="K7:K26" si="8">$K$32*B7/100</f>
        <v>958.49752149327003</v>
      </c>
      <c r="L7" s="533">
        <f t="shared" ref="L7:L26" si="9">$L$32*B7/100</f>
        <v>27231.170940147211</v>
      </c>
      <c r="M7" s="532">
        <f t="shared" ref="M7:M26" si="10">$M$32*B7/100</f>
        <v>958.49752149326912</v>
      </c>
      <c r="N7" s="532">
        <f t="shared" ref="N7:N26" si="11">$N$32*B7/100</f>
        <v>958.49752149326912</v>
      </c>
      <c r="O7" s="535">
        <f t="shared" ref="O7:O27" si="12">SUM(C7:N7)</f>
        <v>107749.78139952771</v>
      </c>
    </row>
    <row r="8" spans="1:15" x14ac:dyDescent="0.2">
      <c r="A8" s="505" t="s">
        <v>141</v>
      </c>
      <c r="B8" s="536">
        <f>'CUADRO10 -FOFIR'!I9</f>
        <v>4.9461692707590682E-2</v>
      </c>
      <c r="C8" s="532">
        <f t="shared" si="0"/>
        <v>4956.4352593554077</v>
      </c>
      <c r="D8" s="533">
        <f t="shared" si="1"/>
        <v>262.37071845323948</v>
      </c>
      <c r="E8" s="532">
        <f t="shared" si="2"/>
        <v>262.37071845323948</v>
      </c>
      <c r="F8" s="533">
        <f t="shared" si="3"/>
        <v>7116.4509879469369</v>
      </c>
      <c r="G8" s="532">
        <f t="shared" si="4"/>
        <v>262.37071845323948</v>
      </c>
      <c r="H8" s="532">
        <f t="shared" si="5"/>
        <v>262.37071845323948</v>
      </c>
      <c r="I8" s="532">
        <f t="shared" si="6"/>
        <v>7868.60737128044</v>
      </c>
      <c r="J8" s="533">
        <f t="shared" si="7"/>
        <v>262.37071845323925</v>
      </c>
      <c r="K8" s="532">
        <f t="shared" si="8"/>
        <v>262.37071845323925</v>
      </c>
      <c r="L8" s="533">
        <f t="shared" si="9"/>
        <v>7454.0222834989972</v>
      </c>
      <c r="M8" s="532">
        <f t="shared" si="10"/>
        <v>262.37071845323902</v>
      </c>
      <c r="N8" s="532">
        <f t="shared" si="11"/>
        <v>262.37071845323902</v>
      </c>
      <c r="O8" s="535">
        <f t="shared" si="12"/>
        <v>29494.481649707697</v>
      </c>
    </row>
    <row r="9" spans="1:15" x14ac:dyDescent="0.2">
      <c r="A9" s="505" t="s">
        <v>142</v>
      </c>
      <c r="B9" s="536">
        <f>'CUADRO10 -FOFIR'!I10</f>
        <v>1.6859970895997552E-2</v>
      </c>
      <c r="C9" s="532">
        <f t="shared" si="0"/>
        <v>1689.4964495989404</v>
      </c>
      <c r="D9" s="533">
        <f t="shared" si="1"/>
        <v>89.434114259593855</v>
      </c>
      <c r="E9" s="532">
        <f t="shared" si="2"/>
        <v>89.434114259593855</v>
      </c>
      <c r="F9" s="533">
        <f t="shared" si="3"/>
        <v>2425.7794258861886</v>
      </c>
      <c r="G9" s="532">
        <f t="shared" si="4"/>
        <v>89.434114259593855</v>
      </c>
      <c r="H9" s="532">
        <f t="shared" si="5"/>
        <v>89.434114259593855</v>
      </c>
      <c r="I9" s="532">
        <f t="shared" si="6"/>
        <v>2682.1664203065284</v>
      </c>
      <c r="J9" s="533">
        <f t="shared" si="7"/>
        <v>89.434114259593784</v>
      </c>
      <c r="K9" s="532">
        <f t="shared" si="8"/>
        <v>89.434114259593784</v>
      </c>
      <c r="L9" s="533">
        <f t="shared" si="9"/>
        <v>2540.8471056758549</v>
      </c>
      <c r="M9" s="532">
        <f t="shared" si="10"/>
        <v>89.434114259593699</v>
      </c>
      <c r="N9" s="532">
        <f t="shared" si="11"/>
        <v>89.434114259593699</v>
      </c>
      <c r="O9" s="535">
        <f t="shared" si="12"/>
        <v>10053.762315544262</v>
      </c>
    </row>
    <row r="10" spans="1:15" x14ac:dyDescent="0.2">
      <c r="A10" s="505" t="s">
        <v>259</v>
      </c>
      <c r="B10" s="536">
        <f>'CUADRO10 -FOFIR'!I11</f>
        <v>34.48014117793474</v>
      </c>
      <c r="C10" s="532">
        <f t="shared" si="0"/>
        <v>3455170.6204676847</v>
      </c>
      <c r="D10" s="533">
        <f t="shared" si="1"/>
        <v>182900.72413626724</v>
      </c>
      <c r="E10" s="532">
        <f t="shared" si="2"/>
        <v>182900.72413626724</v>
      </c>
      <c r="F10" s="533">
        <f t="shared" si="3"/>
        <v>4960934.8430691026</v>
      </c>
      <c r="G10" s="532">
        <f t="shared" si="4"/>
        <v>182900.72413626724</v>
      </c>
      <c r="H10" s="532">
        <f t="shared" si="5"/>
        <v>182900.72413626724</v>
      </c>
      <c r="I10" s="532">
        <f t="shared" si="6"/>
        <v>5485269.0675070761</v>
      </c>
      <c r="J10" s="533">
        <f t="shared" si="7"/>
        <v>182900.72413626709</v>
      </c>
      <c r="K10" s="532">
        <f t="shared" si="8"/>
        <v>182900.72413626709</v>
      </c>
      <c r="L10" s="533">
        <f t="shared" si="9"/>
        <v>5196258.4903422398</v>
      </c>
      <c r="M10" s="532">
        <f t="shared" si="10"/>
        <v>182900.72413626694</v>
      </c>
      <c r="N10" s="532">
        <f t="shared" si="11"/>
        <v>182900.72413626694</v>
      </c>
      <c r="O10" s="535">
        <f t="shared" si="12"/>
        <v>20560838.81447624</v>
      </c>
    </row>
    <row r="11" spans="1:15" x14ac:dyDescent="0.2">
      <c r="A11" s="505" t="s">
        <v>144</v>
      </c>
      <c r="B11" s="536">
        <f>'CUADRO10 -FOFIR'!I12</f>
        <v>2.5861413429303477</v>
      </c>
      <c r="C11" s="532">
        <f t="shared" si="0"/>
        <v>259150.89913228119</v>
      </c>
      <c r="D11" s="533">
        <f t="shared" si="1"/>
        <v>13718.247901009057</v>
      </c>
      <c r="E11" s="532">
        <f t="shared" si="2"/>
        <v>13718.247901009057</v>
      </c>
      <c r="F11" s="533">
        <f t="shared" si="3"/>
        <v>372088.92594253423</v>
      </c>
      <c r="G11" s="532">
        <f t="shared" si="4"/>
        <v>13718.247901009057</v>
      </c>
      <c r="H11" s="532">
        <f t="shared" si="5"/>
        <v>13718.247901009057</v>
      </c>
      <c r="I11" s="532">
        <f t="shared" si="6"/>
        <v>411415.98114032805</v>
      </c>
      <c r="J11" s="533">
        <f t="shared" si="7"/>
        <v>13718.247901009046</v>
      </c>
      <c r="K11" s="532">
        <f t="shared" si="8"/>
        <v>13718.247901009046</v>
      </c>
      <c r="L11" s="533">
        <f t="shared" si="9"/>
        <v>389739.09187548794</v>
      </c>
      <c r="M11" s="532">
        <f t="shared" si="10"/>
        <v>13718.247901009032</v>
      </c>
      <c r="N11" s="532">
        <f t="shared" si="11"/>
        <v>13718.247901009032</v>
      </c>
      <c r="O11" s="535">
        <f t="shared" si="12"/>
        <v>1542140.8812987036</v>
      </c>
    </row>
    <row r="12" spans="1:15" x14ac:dyDescent="0.2">
      <c r="A12" s="505" t="s">
        <v>260</v>
      </c>
      <c r="B12" s="536">
        <f>'CUADRO10 -FOFIR'!I13</f>
        <v>2.9089418031835925E-3</v>
      </c>
      <c r="C12" s="532">
        <f t="shared" si="0"/>
        <v>291.49794379154741</v>
      </c>
      <c r="D12" s="533">
        <f t="shared" si="1"/>
        <v>15.430550574804988</v>
      </c>
      <c r="E12" s="532">
        <f t="shared" si="2"/>
        <v>15.430550574804988</v>
      </c>
      <c r="F12" s="533">
        <f t="shared" si="3"/>
        <v>418.53282077362206</v>
      </c>
      <c r="G12" s="532">
        <f t="shared" si="4"/>
        <v>15.430550574804988</v>
      </c>
      <c r="H12" s="532">
        <f t="shared" si="5"/>
        <v>15.430550574804988</v>
      </c>
      <c r="I12" s="532">
        <f t="shared" si="6"/>
        <v>462.76865311654615</v>
      </c>
      <c r="J12" s="533">
        <f t="shared" si="7"/>
        <v>15.430550574804975</v>
      </c>
      <c r="K12" s="532">
        <f t="shared" si="8"/>
        <v>15.430550574804975</v>
      </c>
      <c r="L12" s="533">
        <f t="shared" si="9"/>
        <v>438.38606880117158</v>
      </c>
      <c r="M12" s="532">
        <f t="shared" si="10"/>
        <v>15.430550574804961</v>
      </c>
      <c r="N12" s="532">
        <f t="shared" si="11"/>
        <v>15.430550574804961</v>
      </c>
      <c r="O12" s="535">
        <f t="shared" si="12"/>
        <v>1734.6298910813273</v>
      </c>
    </row>
    <row r="13" spans="1:15" x14ac:dyDescent="0.2">
      <c r="A13" s="505" t="s">
        <v>146</v>
      </c>
      <c r="B13" s="536">
        <f>'CUADRO10 -FOFIR'!I14</f>
        <v>8.0254309322601758E-4</v>
      </c>
      <c r="C13" s="532">
        <f t="shared" si="0"/>
        <v>80.420880618328269</v>
      </c>
      <c r="D13" s="533">
        <f t="shared" si="1"/>
        <v>4.2571088135663624</v>
      </c>
      <c r="E13" s="532">
        <f t="shared" si="2"/>
        <v>4.2571088135663624</v>
      </c>
      <c r="F13" s="533">
        <f t="shared" si="3"/>
        <v>115.46832055308532</v>
      </c>
      <c r="G13" s="532">
        <f t="shared" si="4"/>
        <v>4.2571088135663624</v>
      </c>
      <c r="H13" s="532">
        <f t="shared" si="5"/>
        <v>4.2571088135663624</v>
      </c>
      <c r="I13" s="532">
        <f t="shared" si="6"/>
        <v>127.67247041990794</v>
      </c>
      <c r="J13" s="533">
        <f t="shared" si="7"/>
        <v>4.2571088135663588</v>
      </c>
      <c r="K13" s="532">
        <f t="shared" si="8"/>
        <v>4.2571088135663588</v>
      </c>
      <c r="L13" s="533">
        <f t="shared" si="9"/>
        <v>120.94559997654284</v>
      </c>
      <c r="M13" s="532">
        <f t="shared" si="10"/>
        <v>4.2571088135663553</v>
      </c>
      <c r="N13" s="532">
        <f t="shared" si="11"/>
        <v>4.2571088135663553</v>
      </c>
      <c r="O13" s="535">
        <f t="shared" si="12"/>
        <v>478.56414207639517</v>
      </c>
    </row>
    <row r="14" spans="1:15" x14ac:dyDescent="0.2">
      <c r="A14" s="505" t="s">
        <v>147</v>
      </c>
      <c r="B14" s="536">
        <f>'CUADRO10 -FOFIR'!I15</f>
        <v>0.18797210860018762</v>
      </c>
      <c r="C14" s="532">
        <f t="shared" si="0"/>
        <v>18836.22528547985</v>
      </c>
      <c r="D14" s="533">
        <f t="shared" si="1"/>
        <v>997.10249453377264</v>
      </c>
      <c r="E14" s="532">
        <f t="shared" si="2"/>
        <v>997.10249453377264</v>
      </c>
      <c r="F14" s="533">
        <f t="shared" si="3"/>
        <v>27045.056987080909</v>
      </c>
      <c r="G14" s="532">
        <f t="shared" si="4"/>
        <v>997.10249453377264</v>
      </c>
      <c r="H14" s="532">
        <f t="shared" si="5"/>
        <v>997.10249453377264</v>
      </c>
      <c r="I14" s="532">
        <f t="shared" si="6"/>
        <v>29903.520044706747</v>
      </c>
      <c r="J14" s="533">
        <f t="shared" si="7"/>
        <v>997.10249453377185</v>
      </c>
      <c r="K14" s="532">
        <f t="shared" si="8"/>
        <v>997.10249453377185</v>
      </c>
      <c r="L14" s="533">
        <f t="shared" si="9"/>
        <v>28327.948549303561</v>
      </c>
      <c r="M14" s="532">
        <f t="shared" si="10"/>
        <v>997.10249453377094</v>
      </c>
      <c r="N14" s="532">
        <f t="shared" si="11"/>
        <v>997.10249453377094</v>
      </c>
      <c r="O14" s="535">
        <f t="shared" si="12"/>
        <v>112089.57082284124</v>
      </c>
    </row>
    <row r="15" spans="1:15" x14ac:dyDescent="0.2">
      <c r="A15" s="505" t="s">
        <v>148</v>
      </c>
      <c r="B15" s="536">
        <f>'CUADRO10 -FOFIR'!I16</f>
        <v>4.1371720137214872E-2</v>
      </c>
      <c r="C15" s="532">
        <f t="shared" si="0"/>
        <v>4145.758893463968</v>
      </c>
      <c r="D15" s="533">
        <f t="shared" si="1"/>
        <v>219.45726767215129</v>
      </c>
      <c r="E15" s="532">
        <f t="shared" si="2"/>
        <v>219.45726767215129</v>
      </c>
      <c r="F15" s="533">
        <f t="shared" si="3"/>
        <v>5952.4816585657127</v>
      </c>
      <c r="G15" s="532">
        <f t="shared" si="4"/>
        <v>219.45726767215129</v>
      </c>
      <c r="H15" s="532">
        <f t="shared" si="5"/>
        <v>219.45726767215129</v>
      </c>
      <c r="I15" s="532">
        <f t="shared" si="6"/>
        <v>6581.6150684281256</v>
      </c>
      <c r="J15" s="533">
        <f t="shared" si="7"/>
        <v>219.45726767215106</v>
      </c>
      <c r="K15" s="532">
        <f t="shared" si="8"/>
        <v>219.45726767215106</v>
      </c>
      <c r="L15" s="533">
        <f t="shared" si="9"/>
        <v>6234.8396694106095</v>
      </c>
      <c r="M15" s="532">
        <f t="shared" si="10"/>
        <v>219.45726767215089</v>
      </c>
      <c r="N15" s="532">
        <f t="shared" si="11"/>
        <v>219.45726767215089</v>
      </c>
      <c r="O15" s="535">
        <f t="shared" si="12"/>
        <v>24670.353431245621</v>
      </c>
    </row>
    <row r="16" spans="1:15" x14ac:dyDescent="0.2">
      <c r="A16" s="505" t="s">
        <v>149</v>
      </c>
      <c r="B16" s="536">
        <f>'CUADRO10 -FOFIR'!I17</f>
        <v>7.943458038731319E-3</v>
      </c>
      <c r="C16" s="532">
        <f t="shared" si="0"/>
        <v>795.99450300122714</v>
      </c>
      <c r="D16" s="533">
        <f t="shared" si="1"/>
        <v>42.136260983750233</v>
      </c>
      <c r="E16" s="532">
        <f t="shared" si="2"/>
        <v>42.136260983750233</v>
      </c>
      <c r="F16" s="533">
        <f t="shared" si="3"/>
        <v>1142.8891069627552</v>
      </c>
      <c r="G16" s="532">
        <f t="shared" si="4"/>
        <v>42.136260983750233</v>
      </c>
      <c r="H16" s="532">
        <f t="shared" si="5"/>
        <v>42.136260983750233</v>
      </c>
      <c r="I16" s="532">
        <f t="shared" si="6"/>
        <v>1263.6840563975663</v>
      </c>
      <c r="J16" s="533">
        <f t="shared" si="7"/>
        <v>42.136260983750198</v>
      </c>
      <c r="K16" s="532">
        <f t="shared" si="8"/>
        <v>42.136260983750198</v>
      </c>
      <c r="L16" s="533">
        <f t="shared" si="9"/>
        <v>1197.1024440830686</v>
      </c>
      <c r="M16" s="532">
        <f t="shared" si="10"/>
        <v>42.136260983750162</v>
      </c>
      <c r="N16" s="532">
        <f t="shared" si="11"/>
        <v>42.136260983750162</v>
      </c>
      <c r="O16" s="535">
        <f t="shared" si="12"/>
        <v>4736.7601983146196</v>
      </c>
    </row>
    <row r="17" spans="1:15" x14ac:dyDescent="0.2">
      <c r="A17" s="505" t="s">
        <v>150</v>
      </c>
      <c r="B17" s="536">
        <f>'CUADRO10 -FOFIR'!I18</f>
        <v>5.3672373713751546E-2</v>
      </c>
      <c r="C17" s="532">
        <f t="shared" si="0"/>
        <v>5378.3773050555747</v>
      </c>
      <c r="D17" s="533">
        <f t="shared" si="1"/>
        <v>284.70637540891607</v>
      </c>
      <c r="E17" s="532">
        <f t="shared" si="2"/>
        <v>284.70637540891607</v>
      </c>
      <c r="F17" s="533">
        <f t="shared" si="3"/>
        <v>7722.275482942925</v>
      </c>
      <c r="G17" s="532">
        <f t="shared" si="4"/>
        <v>284.70637540891607</v>
      </c>
      <c r="H17" s="532">
        <f t="shared" si="5"/>
        <v>284.70637540891607</v>
      </c>
      <c r="I17" s="532">
        <f t="shared" si="6"/>
        <v>8538.4630472489098</v>
      </c>
      <c r="J17" s="533">
        <f t="shared" si="7"/>
        <v>284.70637540891579</v>
      </c>
      <c r="K17" s="532">
        <f t="shared" si="8"/>
        <v>284.70637540891579</v>
      </c>
      <c r="L17" s="533">
        <f t="shared" si="9"/>
        <v>8088.5842713828515</v>
      </c>
      <c r="M17" s="532">
        <f t="shared" si="10"/>
        <v>284.70637540891556</v>
      </c>
      <c r="N17" s="532">
        <f t="shared" si="11"/>
        <v>284.70637540891556</v>
      </c>
      <c r="O17" s="535">
        <f t="shared" si="12"/>
        <v>32005.351109901581</v>
      </c>
    </row>
    <row r="18" spans="1:15" x14ac:dyDescent="0.2">
      <c r="A18" s="505" t="s">
        <v>151</v>
      </c>
      <c r="B18" s="536">
        <f>'CUADRO10 -FOFIR'!I19</f>
        <v>3.2561208093104435E-2</v>
      </c>
      <c r="C18" s="532">
        <f t="shared" si="0"/>
        <v>3262.8790291098148</v>
      </c>
      <c r="D18" s="533">
        <f t="shared" si="1"/>
        <v>172.72169821600488</v>
      </c>
      <c r="E18" s="532">
        <f t="shared" si="2"/>
        <v>172.72169821600488</v>
      </c>
      <c r="F18" s="533">
        <f t="shared" si="3"/>
        <v>4684.8425279905096</v>
      </c>
      <c r="G18" s="532">
        <f t="shared" si="4"/>
        <v>172.72169821600488</v>
      </c>
      <c r="H18" s="532">
        <f t="shared" si="5"/>
        <v>172.72169821600488</v>
      </c>
      <c r="I18" s="532">
        <f t="shared" si="6"/>
        <v>5179.99583099343</v>
      </c>
      <c r="J18" s="533">
        <f t="shared" si="7"/>
        <v>172.72169821600471</v>
      </c>
      <c r="K18" s="532">
        <f t="shared" si="8"/>
        <v>172.72169821600471</v>
      </c>
      <c r="L18" s="533">
        <f t="shared" si="9"/>
        <v>4907.0696415207876</v>
      </c>
      <c r="M18" s="532">
        <f t="shared" si="10"/>
        <v>172.72169821600454</v>
      </c>
      <c r="N18" s="532">
        <f t="shared" si="11"/>
        <v>172.72169821600454</v>
      </c>
      <c r="O18" s="535">
        <f t="shared" si="12"/>
        <v>19416.560615342583</v>
      </c>
    </row>
    <row r="19" spans="1:15" x14ac:dyDescent="0.2">
      <c r="A19" s="505" t="s">
        <v>152</v>
      </c>
      <c r="B19" s="536">
        <f>'CUADRO10 -FOFIR'!I20</f>
        <v>0.15825421617281318</v>
      </c>
      <c r="C19" s="532">
        <f t="shared" si="0"/>
        <v>15858.267965427092</v>
      </c>
      <c r="D19" s="533">
        <f t="shared" si="1"/>
        <v>839.4632314947678</v>
      </c>
      <c r="E19" s="532">
        <f t="shared" si="2"/>
        <v>839.4632314947678</v>
      </c>
      <c r="F19" s="533">
        <f t="shared" si="3"/>
        <v>22769.3051203836</v>
      </c>
      <c r="G19" s="532">
        <f t="shared" si="4"/>
        <v>839.4632314947678</v>
      </c>
      <c r="H19" s="532">
        <f t="shared" si="5"/>
        <v>839.4632314947678</v>
      </c>
      <c r="I19" s="532">
        <f t="shared" si="6"/>
        <v>25175.852740731294</v>
      </c>
      <c r="J19" s="533">
        <f t="shared" si="7"/>
        <v>839.46323149476711</v>
      </c>
      <c r="K19" s="532">
        <f t="shared" si="8"/>
        <v>839.46323149476711</v>
      </c>
      <c r="L19" s="533">
        <f t="shared" si="9"/>
        <v>23849.374925027263</v>
      </c>
      <c r="M19" s="532">
        <f t="shared" si="10"/>
        <v>839.46323149476632</v>
      </c>
      <c r="N19" s="532">
        <f t="shared" si="11"/>
        <v>839.46323149476632</v>
      </c>
      <c r="O19" s="535">
        <f t="shared" si="12"/>
        <v>94368.506603527392</v>
      </c>
    </row>
    <row r="20" spans="1:15" x14ac:dyDescent="0.2">
      <c r="A20" s="505" t="s">
        <v>261</v>
      </c>
      <c r="B20" s="536">
        <f>'CUADRO10 -FOFIR'!I21</f>
        <v>7.9848871807373708E-3</v>
      </c>
      <c r="C20" s="532">
        <f t="shared" si="0"/>
        <v>800.14601599973253</v>
      </c>
      <c r="D20" s="533">
        <f t="shared" si="1"/>
        <v>42.356022847083331</v>
      </c>
      <c r="E20" s="532">
        <f t="shared" si="2"/>
        <v>42.356022847083331</v>
      </c>
      <c r="F20" s="533">
        <f t="shared" si="3"/>
        <v>1148.8498503667818</v>
      </c>
      <c r="G20" s="532">
        <f t="shared" si="4"/>
        <v>42.356022847083331</v>
      </c>
      <c r="H20" s="532">
        <f t="shared" si="5"/>
        <v>42.356022847083331</v>
      </c>
      <c r="I20" s="532">
        <f t="shared" si="6"/>
        <v>1270.2748064170175</v>
      </c>
      <c r="J20" s="533">
        <f t="shared" si="7"/>
        <v>42.356022847083295</v>
      </c>
      <c r="K20" s="532">
        <f t="shared" si="8"/>
        <v>42.356022847083295</v>
      </c>
      <c r="L20" s="533">
        <f t="shared" si="9"/>
        <v>1203.3459373966721</v>
      </c>
      <c r="M20" s="532">
        <f t="shared" si="10"/>
        <v>42.356022847083253</v>
      </c>
      <c r="N20" s="532">
        <f t="shared" si="11"/>
        <v>42.356022847083253</v>
      </c>
      <c r="O20" s="535">
        <f t="shared" si="12"/>
        <v>4761.464792956871</v>
      </c>
    </row>
    <row r="21" spans="1:15" x14ac:dyDescent="0.2">
      <c r="A21" s="505" t="s">
        <v>262</v>
      </c>
      <c r="B21" s="536">
        <f>'CUADRO10 -FOFIR'!I22</f>
        <v>4.9782778942383407E-2</v>
      </c>
      <c r="C21" s="532">
        <f t="shared" si="0"/>
        <v>4988.6105256737019</v>
      </c>
      <c r="D21" s="533">
        <f t="shared" si="1"/>
        <v>264.07392797754846</v>
      </c>
      <c r="E21" s="532">
        <f t="shared" si="2"/>
        <v>264.07392797754846</v>
      </c>
      <c r="F21" s="533">
        <f t="shared" si="3"/>
        <v>7162.6482433929923</v>
      </c>
      <c r="G21" s="532">
        <f t="shared" si="4"/>
        <v>264.07392797754846</v>
      </c>
      <c r="H21" s="532">
        <f t="shared" si="5"/>
        <v>264.07392797754846</v>
      </c>
      <c r="I21" s="532">
        <f t="shared" si="6"/>
        <v>7919.6873359076717</v>
      </c>
      <c r="J21" s="533">
        <f t="shared" si="7"/>
        <v>264.07392797754824</v>
      </c>
      <c r="K21" s="532">
        <f t="shared" si="8"/>
        <v>264.07392797754824</v>
      </c>
      <c r="L21" s="533">
        <f t="shared" si="9"/>
        <v>7502.4109216157531</v>
      </c>
      <c r="M21" s="532">
        <f t="shared" si="10"/>
        <v>264.07392797754801</v>
      </c>
      <c r="N21" s="532">
        <f t="shared" si="11"/>
        <v>264.07392797754801</v>
      </c>
      <c r="O21" s="535">
        <f t="shared" si="12"/>
        <v>29685.948450410502</v>
      </c>
    </row>
    <row r="22" spans="1:15" x14ac:dyDescent="0.2">
      <c r="A22" s="505" t="s">
        <v>263</v>
      </c>
      <c r="B22" s="536">
        <f>'CUADRO10 -FOFIR'!I23</f>
        <v>1.0720689908576879</v>
      </c>
      <c r="C22" s="532">
        <f t="shared" si="0"/>
        <v>107429.41164917214</v>
      </c>
      <c r="D22" s="533">
        <f t="shared" si="1"/>
        <v>5686.8153102977849</v>
      </c>
      <c r="E22" s="532">
        <f t="shared" si="2"/>
        <v>5686.8153102977849</v>
      </c>
      <c r="F22" s="533">
        <f t="shared" si="3"/>
        <v>154247.17617813408</v>
      </c>
      <c r="G22" s="532">
        <f t="shared" si="4"/>
        <v>5686.8153102977849</v>
      </c>
      <c r="H22" s="532">
        <f t="shared" si="5"/>
        <v>5686.8153102977849</v>
      </c>
      <c r="I22" s="532">
        <f t="shared" si="6"/>
        <v>170549.96507811378</v>
      </c>
      <c r="J22" s="533">
        <f t="shared" si="7"/>
        <v>5686.8153102977794</v>
      </c>
      <c r="K22" s="532">
        <f t="shared" si="8"/>
        <v>5686.8153102977794</v>
      </c>
      <c r="L22" s="533">
        <f t="shared" si="9"/>
        <v>161563.94393019041</v>
      </c>
      <c r="M22" s="532">
        <f t="shared" si="10"/>
        <v>5686.8153102977749</v>
      </c>
      <c r="N22" s="532">
        <f t="shared" si="11"/>
        <v>5686.8153102977749</v>
      </c>
      <c r="O22" s="535">
        <f t="shared" si="12"/>
        <v>639285.0193179925</v>
      </c>
    </row>
    <row r="23" spans="1:15" x14ac:dyDescent="0.2">
      <c r="A23" s="505" t="s">
        <v>156</v>
      </c>
      <c r="B23" s="536">
        <f>'CUADRO10 -FOFIR'!I24</f>
        <v>0.10646472233465118</v>
      </c>
      <c r="C23" s="532">
        <f t="shared" si="0"/>
        <v>10668.569447805547</v>
      </c>
      <c r="D23" s="533">
        <f t="shared" si="1"/>
        <v>564.74463690524453</v>
      </c>
      <c r="E23" s="532">
        <f t="shared" si="2"/>
        <v>564.74463690524453</v>
      </c>
      <c r="F23" s="533">
        <f t="shared" si="3"/>
        <v>15317.934687739695</v>
      </c>
      <c r="G23" s="532">
        <f t="shared" si="4"/>
        <v>564.74463690524453</v>
      </c>
      <c r="H23" s="532">
        <f t="shared" si="5"/>
        <v>564.74463690524453</v>
      </c>
      <c r="I23" s="532">
        <f t="shared" si="6"/>
        <v>16936.927409586991</v>
      </c>
      <c r="J23" s="533">
        <f t="shared" si="7"/>
        <v>564.74463690524408</v>
      </c>
      <c r="K23" s="532">
        <f t="shared" si="8"/>
        <v>564.74463690524408</v>
      </c>
      <c r="L23" s="533">
        <f t="shared" si="9"/>
        <v>16044.546178000783</v>
      </c>
      <c r="M23" s="532">
        <f t="shared" si="10"/>
        <v>564.74463690524351</v>
      </c>
      <c r="N23" s="532">
        <f t="shared" si="11"/>
        <v>564.74463690524351</v>
      </c>
      <c r="O23" s="535">
        <f t="shared" si="12"/>
        <v>63485.934818374961</v>
      </c>
    </row>
    <row r="24" spans="1:15" x14ac:dyDescent="0.2">
      <c r="A24" s="505" t="s">
        <v>157</v>
      </c>
      <c r="B24" s="536">
        <f>'CUADRO10 -FOFIR'!I25</f>
        <v>59.406805010675569</v>
      </c>
      <c r="C24" s="532">
        <f t="shared" si="0"/>
        <v>5953010.6408060016</v>
      </c>
      <c r="D24" s="533">
        <f t="shared" si="1"/>
        <v>315124.80180991552</v>
      </c>
      <c r="E24" s="532">
        <f t="shared" si="2"/>
        <v>315124.80180991552</v>
      </c>
      <c r="F24" s="533">
        <f t="shared" si="3"/>
        <v>8547334.1704723574</v>
      </c>
      <c r="G24" s="532">
        <f t="shared" si="4"/>
        <v>315124.80180991552</v>
      </c>
      <c r="H24" s="532">
        <f t="shared" si="5"/>
        <v>315124.80180991552</v>
      </c>
      <c r="I24" s="532">
        <f t="shared" si="6"/>
        <v>9450724.3529796153</v>
      </c>
      <c r="J24" s="533">
        <f t="shared" si="7"/>
        <v>315124.80180991517</v>
      </c>
      <c r="K24" s="532">
        <f t="shared" si="8"/>
        <v>315124.80180991517</v>
      </c>
      <c r="L24" s="533">
        <f t="shared" si="9"/>
        <v>8952779.9009817932</v>
      </c>
      <c r="M24" s="532">
        <f t="shared" si="10"/>
        <v>315124.80180991493</v>
      </c>
      <c r="N24" s="532">
        <f t="shared" si="11"/>
        <v>315124.80180991493</v>
      </c>
      <c r="O24" s="535">
        <f t="shared" si="12"/>
        <v>35424847.479719087</v>
      </c>
    </row>
    <row r="25" spans="1:15" x14ac:dyDescent="0.2">
      <c r="A25" s="505" t="s">
        <v>158</v>
      </c>
      <c r="B25" s="536">
        <f>'CUADRO10 -FOFIR'!I26</f>
        <v>6.4487434997038934E-2</v>
      </c>
      <c r="C25" s="532">
        <f t="shared" si="0"/>
        <v>6462.1281462059969</v>
      </c>
      <c r="D25" s="533">
        <f t="shared" si="1"/>
        <v>342.07512370038842</v>
      </c>
      <c r="E25" s="532">
        <f t="shared" si="2"/>
        <v>342.07512370038842</v>
      </c>
      <c r="F25" s="533">
        <f t="shared" si="3"/>
        <v>9278.325212360005</v>
      </c>
      <c r="G25" s="532">
        <f t="shared" si="4"/>
        <v>342.07512370038842</v>
      </c>
      <c r="H25" s="532">
        <f t="shared" si="5"/>
        <v>342.07512370038842</v>
      </c>
      <c r="I25" s="532">
        <f t="shared" si="6"/>
        <v>10258.975756703048</v>
      </c>
      <c r="J25" s="533">
        <f t="shared" si="7"/>
        <v>342.07512370038813</v>
      </c>
      <c r="K25" s="532">
        <f t="shared" si="8"/>
        <v>342.07512370038813</v>
      </c>
      <c r="L25" s="533">
        <f t="shared" si="9"/>
        <v>9718.4457538763472</v>
      </c>
      <c r="M25" s="532">
        <f t="shared" si="10"/>
        <v>342.07512370038785</v>
      </c>
      <c r="N25" s="532">
        <f t="shared" si="11"/>
        <v>342.07512370038785</v>
      </c>
      <c r="O25" s="535">
        <f t="shared" si="12"/>
        <v>38454.475858748505</v>
      </c>
    </row>
    <row r="26" spans="1:15" ht="13.5" thickBot="1" x14ac:dyDescent="0.25">
      <c r="A26" s="505" t="s">
        <v>159</v>
      </c>
      <c r="B26" s="537">
        <f>'CUADRO10 -FOFIR'!I27</f>
        <v>1.4936210577830709</v>
      </c>
      <c r="C26" s="532">
        <f t="shared" si="0"/>
        <v>149672.11329942255</v>
      </c>
      <c r="D26" s="533">
        <f t="shared" si="1"/>
        <v>7922.948216596139</v>
      </c>
      <c r="E26" s="532">
        <f t="shared" si="2"/>
        <v>7922.948216596139</v>
      </c>
      <c r="F26" s="533">
        <f t="shared" si="3"/>
        <v>214899.25779769063</v>
      </c>
      <c r="G26" s="532">
        <f t="shared" si="4"/>
        <v>7922.948216596139</v>
      </c>
      <c r="H26" s="532">
        <f t="shared" si="5"/>
        <v>7922.948216596139</v>
      </c>
      <c r="I26" s="538">
        <f t="shared" si="6"/>
        <v>237612.52439643897</v>
      </c>
      <c r="J26" s="533">
        <f t="shared" si="7"/>
        <v>7922.9482165961317</v>
      </c>
      <c r="K26" s="532">
        <f t="shared" si="8"/>
        <v>7922.9482165961317</v>
      </c>
      <c r="L26" s="533">
        <f t="shared" si="9"/>
        <v>225093.07786204707</v>
      </c>
      <c r="M26" s="532">
        <f t="shared" si="10"/>
        <v>7922.9482165961244</v>
      </c>
      <c r="N26" s="532">
        <f t="shared" si="11"/>
        <v>7922.9482165961244</v>
      </c>
      <c r="O26" s="535">
        <f t="shared" si="12"/>
        <v>890660.55908836843</v>
      </c>
    </row>
    <row r="27" spans="1:15" ht="13.5" thickBot="1" x14ac:dyDescent="0.25">
      <c r="A27" s="510" t="s">
        <v>264</v>
      </c>
      <c r="B27" s="539">
        <f t="shared" ref="B27:N27" si="13">SUM(B7:B26)</f>
        <v>100</v>
      </c>
      <c r="C27" s="540">
        <f t="shared" si="13"/>
        <v>10020755.4332138</v>
      </c>
      <c r="D27" s="540">
        <f t="shared" si="13"/>
        <v>530452.36442741973</v>
      </c>
      <c r="E27" s="540">
        <f t="shared" si="13"/>
        <v>530452.36442741973</v>
      </c>
      <c r="F27" s="540">
        <f t="shared" si="13"/>
        <v>14387803.163183706</v>
      </c>
      <c r="G27" s="540">
        <f t="shared" si="13"/>
        <v>530452.36442741973</v>
      </c>
      <c r="H27" s="540">
        <f t="shared" si="13"/>
        <v>530452.36442741973</v>
      </c>
      <c r="I27" s="540">
        <f t="shared" si="13"/>
        <v>15908487.842901653</v>
      </c>
      <c r="J27" s="540">
        <f t="shared" si="13"/>
        <v>530452.36442741926</v>
      </c>
      <c r="K27" s="540">
        <f t="shared" si="13"/>
        <v>530452.36442741926</v>
      </c>
      <c r="L27" s="540">
        <f t="shared" si="13"/>
        <v>15070293.545281477</v>
      </c>
      <c r="M27" s="540">
        <f t="shared" si="13"/>
        <v>530452.3644274188</v>
      </c>
      <c r="N27" s="540">
        <f t="shared" si="13"/>
        <v>530452.3644274188</v>
      </c>
      <c r="O27" s="540">
        <f t="shared" si="12"/>
        <v>59630958.899999991</v>
      </c>
    </row>
    <row r="28" spans="1:15" x14ac:dyDescent="0.2">
      <c r="A28" s="513"/>
      <c r="B28" s="513"/>
      <c r="C28" s="513"/>
      <c r="D28" s="513"/>
      <c r="E28" s="513"/>
      <c r="F28" s="513"/>
      <c r="G28" s="513"/>
      <c r="H28" s="513"/>
      <c r="I28" s="513"/>
      <c r="J28" s="513"/>
      <c r="K28" s="513"/>
      <c r="L28" s="513"/>
      <c r="M28" s="513"/>
      <c r="N28" s="513"/>
      <c r="O28" s="513"/>
    </row>
    <row r="29" spans="1:15" x14ac:dyDescent="0.2">
      <c r="A29" s="514" t="s">
        <v>265</v>
      </c>
    </row>
    <row r="32" spans="1:15" x14ac:dyDescent="0.2">
      <c r="C32" s="509">
        <f>'FOFIR ESTIMACIONES'!C33</f>
        <v>10020755.433213802</v>
      </c>
      <c r="D32" s="509">
        <f>'FOFIR ESTIMACIONES'!D33</f>
        <v>530452.36442741985</v>
      </c>
      <c r="E32" s="509">
        <f>'FOFIR ESTIMACIONES'!E33</f>
        <v>530452.36442741985</v>
      </c>
      <c r="F32" s="509">
        <f>'FOFIR ESTIMACIONES'!F33</f>
        <v>14387803.163183708</v>
      </c>
      <c r="G32" s="509">
        <f>'FOFIR ESTIMACIONES'!G33</f>
        <v>530452.36442741985</v>
      </c>
      <c r="H32" s="509">
        <f>'FOFIR ESTIMACIONES'!H33</f>
        <v>530452.36442741985</v>
      </c>
      <c r="I32" s="509">
        <f>'FOFIR ESTIMACIONES'!I33</f>
        <v>15908487.842901658</v>
      </c>
      <c r="J32" s="509">
        <f>'FOFIR ESTIMACIONES'!J33</f>
        <v>530452.36442741938</v>
      </c>
      <c r="K32" s="509">
        <f>'FOFIR ESTIMACIONES'!K33</f>
        <v>530452.36442741938</v>
      </c>
      <c r="L32" s="509">
        <f>'FOFIR ESTIMACIONES'!L33</f>
        <v>15070293.545281477</v>
      </c>
      <c r="M32" s="509">
        <f>'FOFIR ESTIMACIONES'!M33</f>
        <v>530452.36442741891</v>
      </c>
      <c r="N32" s="509">
        <f>'FOFIR ESTIMACIONES'!N33</f>
        <v>530452.36442741891</v>
      </c>
      <c r="O32" s="509">
        <f>'FOFIR ESTIMACIONES'!O33</f>
        <v>59630958.899999969</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7030A0"/>
  </sheetPr>
  <dimension ref="A1:O34"/>
  <sheetViews>
    <sheetView workbookViewId="0">
      <selection activeCell="C27" sqref="C27"/>
    </sheetView>
  </sheetViews>
  <sheetFormatPr baseColWidth="10" defaultRowHeight="12.75" x14ac:dyDescent="0.2"/>
  <cols>
    <col min="1" max="1" width="15.42578125" style="500" customWidth="1"/>
    <col min="2" max="2" width="9.28515625" style="500" customWidth="1"/>
    <col min="3" max="3" width="12.7109375" style="500" customWidth="1"/>
    <col min="4" max="5" width="11.7109375" style="500" bestFit="1" customWidth="1"/>
    <col min="6" max="6" width="12.7109375" style="500" bestFit="1" customWidth="1"/>
    <col min="7" max="8" width="11.7109375" style="500" bestFit="1" customWidth="1"/>
    <col min="9" max="9" width="11.85546875" style="500" bestFit="1" customWidth="1"/>
    <col min="10" max="11" width="11.7109375" style="500" bestFit="1" customWidth="1"/>
    <col min="12" max="12" width="11.85546875" style="500" bestFit="1" customWidth="1"/>
    <col min="13" max="14" width="11.7109375" style="500" bestFit="1" customWidth="1"/>
    <col min="15" max="15" width="13.140625"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294</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16">
        <v>3.6499999999999998E-2</v>
      </c>
      <c r="C7" s="532">
        <v>154257.12253206508</v>
      </c>
      <c r="D7" s="533">
        <v>120162.95703191035</v>
      </c>
      <c r="E7" s="532">
        <v>120162.95703191035</v>
      </c>
      <c r="F7" s="533">
        <v>181543.94365766429</v>
      </c>
      <c r="G7" s="532">
        <v>120162.95703191035</v>
      </c>
      <c r="H7" s="532">
        <v>120162.95703191035</v>
      </c>
      <c r="I7" s="534">
        <v>152643.60360410286</v>
      </c>
      <c r="J7" s="533">
        <v>120162.95703191037</v>
      </c>
      <c r="K7" s="532">
        <v>120162.95703191037</v>
      </c>
      <c r="L7" s="533">
        <v>159154.33645088488</v>
      </c>
      <c r="M7" s="532">
        <v>120162.9570319104</v>
      </c>
      <c r="N7" s="532">
        <v>120162.9570319104</v>
      </c>
      <c r="O7" s="535">
        <f t="shared" ref="O7:O27" si="0">SUM(C7:N7)</f>
        <v>1608902.6624999996</v>
      </c>
    </row>
    <row r="8" spans="1:15" x14ac:dyDescent="0.2">
      <c r="A8" s="505" t="s">
        <v>141</v>
      </c>
      <c r="B8" s="517">
        <v>1.49E-2</v>
      </c>
      <c r="C8" s="532">
        <v>62970.715773363561</v>
      </c>
      <c r="D8" s="533">
        <v>49052.82355549217</v>
      </c>
      <c r="E8" s="532">
        <v>49052.82355549217</v>
      </c>
      <c r="F8" s="533">
        <v>74109.719465731454</v>
      </c>
      <c r="G8" s="532">
        <v>49052.82355549217</v>
      </c>
      <c r="H8" s="532">
        <v>49052.82355549217</v>
      </c>
      <c r="I8" s="532">
        <v>62312.046402770757</v>
      </c>
      <c r="J8" s="533">
        <v>49052.823555492178</v>
      </c>
      <c r="K8" s="532">
        <v>49052.823555492178</v>
      </c>
      <c r="L8" s="533">
        <v>64969.852414196837</v>
      </c>
      <c r="M8" s="532">
        <v>49052.823555492192</v>
      </c>
      <c r="N8" s="532">
        <v>49052.823555492192</v>
      </c>
      <c r="O8" s="535">
        <f t="shared" si="0"/>
        <v>656784.92249999999</v>
      </c>
    </row>
    <row r="9" spans="1:15" x14ac:dyDescent="0.2">
      <c r="A9" s="505" t="s">
        <v>142</v>
      </c>
      <c r="B9" s="517">
        <v>1.09E-2</v>
      </c>
      <c r="C9" s="532">
        <v>46065.825632863278</v>
      </c>
      <c r="D9" s="533">
        <v>35884.280319118436</v>
      </c>
      <c r="E9" s="532">
        <v>35884.280319118436</v>
      </c>
      <c r="F9" s="533">
        <v>54214.492763521666</v>
      </c>
      <c r="G9" s="532">
        <v>35884.280319118436</v>
      </c>
      <c r="H9" s="532">
        <v>35884.280319118436</v>
      </c>
      <c r="I9" s="532">
        <v>45583.980254375922</v>
      </c>
      <c r="J9" s="533">
        <v>35884.280319118443</v>
      </c>
      <c r="K9" s="532">
        <v>35884.280319118443</v>
      </c>
      <c r="L9" s="533">
        <v>47528.281296291651</v>
      </c>
      <c r="M9" s="532">
        <v>35884.28031911845</v>
      </c>
      <c r="N9" s="532">
        <v>35884.28031911845</v>
      </c>
      <c r="O9" s="535">
        <f t="shared" si="0"/>
        <v>480466.82250000013</v>
      </c>
    </row>
    <row r="10" spans="1:15" x14ac:dyDescent="0.2">
      <c r="A10" s="505" t="s">
        <v>259</v>
      </c>
      <c r="B10" s="517">
        <v>8.8200000000000001E-2</v>
      </c>
      <c r="C10" s="532">
        <v>372752.82759803126</v>
      </c>
      <c r="D10" s="533">
        <v>290366.37836204091</v>
      </c>
      <c r="E10" s="532">
        <v>290366.37836204091</v>
      </c>
      <c r="F10" s="533">
        <v>438689.74878372578</v>
      </c>
      <c r="G10" s="532">
        <v>290366.37836204091</v>
      </c>
      <c r="H10" s="532">
        <v>290366.37836204091</v>
      </c>
      <c r="I10" s="532">
        <v>368853.85857210611</v>
      </c>
      <c r="J10" s="533">
        <v>290366.37836204097</v>
      </c>
      <c r="K10" s="532">
        <v>290366.37836204097</v>
      </c>
      <c r="L10" s="533">
        <v>384586.6431498095</v>
      </c>
      <c r="M10" s="532">
        <v>290366.37836204102</v>
      </c>
      <c r="N10" s="532">
        <v>290366.37836204102</v>
      </c>
      <c r="O10" s="535">
        <f t="shared" si="0"/>
        <v>3887814.105</v>
      </c>
    </row>
    <row r="11" spans="1:15" x14ac:dyDescent="0.2">
      <c r="A11" s="505" t="s">
        <v>144</v>
      </c>
      <c r="B11" s="517">
        <v>6.6299999999999998E-2</v>
      </c>
      <c r="C11" s="532">
        <v>280198.55407879222</v>
      </c>
      <c r="D11" s="533">
        <v>218268.60414289468</v>
      </c>
      <c r="E11" s="532">
        <v>218268.60414289468</v>
      </c>
      <c r="F11" s="533">
        <v>329763.38258912717</v>
      </c>
      <c r="G11" s="532">
        <v>218268.60414289468</v>
      </c>
      <c r="H11" s="532">
        <v>218268.60414289468</v>
      </c>
      <c r="I11" s="532">
        <v>277267.69640964438</v>
      </c>
      <c r="J11" s="533">
        <v>218268.60414289474</v>
      </c>
      <c r="K11" s="532">
        <v>218268.60414289474</v>
      </c>
      <c r="L11" s="533">
        <v>289094.04127927852</v>
      </c>
      <c r="M11" s="532">
        <v>218268.60414289479</v>
      </c>
      <c r="N11" s="532">
        <v>218268.60414289479</v>
      </c>
      <c r="O11" s="535">
        <f t="shared" si="0"/>
        <v>2922472.5075000003</v>
      </c>
    </row>
    <row r="12" spans="1:15" x14ac:dyDescent="0.2">
      <c r="A12" s="505" t="s">
        <v>260</v>
      </c>
      <c r="B12" s="517">
        <v>3.2199999999999999E-2</v>
      </c>
      <c r="C12" s="532">
        <v>136084.36563102729</v>
      </c>
      <c r="D12" s="533">
        <v>106006.77305280858</v>
      </c>
      <c r="E12" s="532">
        <v>106006.77305280858</v>
      </c>
      <c r="F12" s="533">
        <v>160156.57495278877</v>
      </c>
      <c r="G12" s="532">
        <v>106006.77305280858</v>
      </c>
      <c r="H12" s="532">
        <v>106006.77305280858</v>
      </c>
      <c r="I12" s="532">
        <v>134660.93249457842</v>
      </c>
      <c r="J12" s="533">
        <v>106006.7730528086</v>
      </c>
      <c r="K12" s="532">
        <v>106006.7730528086</v>
      </c>
      <c r="L12" s="533">
        <v>140404.6474991368</v>
      </c>
      <c r="M12" s="532">
        <v>106006.77305280862</v>
      </c>
      <c r="N12" s="532">
        <v>106006.77305280862</v>
      </c>
      <c r="O12" s="535">
        <f t="shared" si="0"/>
        <v>1419360.7050000001</v>
      </c>
    </row>
    <row r="13" spans="1:15" x14ac:dyDescent="0.2">
      <c r="A13" s="505" t="s">
        <v>146</v>
      </c>
      <c r="B13" s="517">
        <v>1.11E-2</v>
      </c>
      <c r="C13" s="532">
        <v>46911.070139888296</v>
      </c>
      <c r="D13" s="533">
        <v>36542.707480937126</v>
      </c>
      <c r="E13" s="532">
        <v>36542.707480937126</v>
      </c>
      <c r="F13" s="533">
        <v>55209.254098632155</v>
      </c>
      <c r="G13" s="532">
        <v>36542.707480937126</v>
      </c>
      <c r="H13" s="532">
        <v>36542.707480937126</v>
      </c>
      <c r="I13" s="532">
        <v>46420.383561795665</v>
      </c>
      <c r="J13" s="533">
        <v>36542.707480937126</v>
      </c>
      <c r="K13" s="532">
        <v>36542.707480937126</v>
      </c>
      <c r="L13" s="533">
        <v>48400.359852186913</v>
      </c>
      <c r="M13" s="532">
        <v>36542.707480937141</v>
      </c>
      <c r="N13" s="532">
        <v>36542.707480937141</v>
      </c>
      <c r="O13" s="535">
        <f t="shared" si="0"/>
        <v>489282.7275000001</v>
      </c>
    </row>
    <row r="14" spans="1:15" x14ac:dyDescent="0.2">
      <c r="A14" s="505" t="s">
        <v>147</v>
      </c>
      <c r="B14" s="517">
        <v>2.7099999999999999E-2</v>
      </c>
      <c r="C14" s="532">
        <v>114530.63070188943</v>
      </c>
      <c r="D14" s="533">
        <v>89216.880426432064</v>
      </c>
      <c r="E14" s="532">
        <v>89216.880426432064</v>
      </c>
      <c r="F14" s="533">
        <v>134790.16090747129</v>
      </c>
      <c r="G14" s="532">
        <v>89216.880426432064</v>
      </c>
      <c r="H14" s="532">
        <v>89216.880426432064</v>
      </c>
      <c r="I14" s="532">
        <v>113332.64815537501</v>
      </c>
      <c r="J14" s="533">
        <v>89216.880426432079</v>
      </c>
      <c r="K14" s="532">
        <v>89216.880426432079</v>
      </c>
      <c r="L14" s="533">
        <v>118166.64432380768</v>
      </c>
      <c r="M14" s="532">
        <v>89216.880426432108</v>
      </c>
      <c r="N14" s="532">
        <v>89216.880426432108</v>
      </c>
      <c r="O14" s="535">
        <f t="shared" si="0"/>
        <v>1194555.1274999999</v>
      </c>
    </row>
    <row r="15" spans="1:15" x14ac:dyDescent="0.2">
      <c r="A15" s="505" t="s">
        <v>148</v>
      </c>
      <c r="B15" s="517">
        <v>1.6899999999999998E-2</v>
      </c>
      <c r="C15" s="532">
        <v>71423.160843613703</v>
      </c>
      <c r="D15" s="533">
        <v>55637.095173679038</v>
      </c>
      <c r="E15" s="532">
        <v>55637.095173679038</v>
      </c>
      <c r="F15" s="533">
        <v>84057.332816836337</v>
      </c>
      <c r="G15" s="532">
        <v>55637.095173679038</v>
      </c>
      <c r="H15" s="532">
        <v>55637.095173679038</v>
      </c>
      <c r="I15" s="532">
        <v>70676.079476968167</v>
      </c>
      <c r="J15" s="533">
        <v>55637.095173679045</v>
      </c>
      <c r="K15" s="532">
        <v>55637.095173679045</v>
      </c>
      <c r="L15" s="533">
        <v>73690.637973149423</v>
      </c>
      <c r="M15" s="532">
        <v>55637.095173679059</v>
      </c>
      <c r="N15" s="532">
        <v>55637.095173679059</v>
      </c>
      <c r="O15" s="535">
        <f t="shared" si="0"/>
        <v>744943.97250000003</v>
      </c>
    </row>
    <row r="16" spans="1:15" x14ac:dyDescent="0.2">
      <c r="A16" s="505" t="s">
        <v>149</v>
      </c>
      <c r="B16" s="517">
        <v>1.2699999999999999E-2</v>
      </c>
      <c r="C16" s="532">
        <v>53673.026196088402</v>
      </c>
      <c r="D16" s="533">
        <v>41810.124775486613</v>
      </c>
      <c r="E16" s="532">
        <v>41810.124775486613</v>
      </c>
      <c r="F16" s="533">
        <v>63167.344779516068</v>
      </c>
      <c r="G16" s="532">
        <v>41810.124775486613</v>
      </c>
      <c r="H16" s="532">
        <v>41810.124775486613</v>
      </c>
      <c r="I16" s="532">
        <v>53111.610021153596</v>
      </c>
      <c r="J16" s="533">
        <v>41810.12477548662</v>
      </c>
      <c r="K16" s="532">
        <v>41810.12477548662</v>
      </c>
      <c r="L16" s="533">
        <v>55376.988299348981</v>
      </c>
      <c r="M16" s="532">
        <v>41810.124775486634</v>
      </c>
      <c r="N16" s="532">
        <v>41810.124775486634</v>
      </c>
      <c r="O16" s="535">
        <f t="shared" si="0"/>
        <v>559809.96750000003</v>
      </c>
    </row>
    <row r="17" spans="1:15" x14ac:dyDescent="0.2">
      <c r="A17" s="505" t="s">
        <v>150</v>
      </c>
      <c r="B17" s="517">
        <v>3.39E-2</v>
      </c>
      <c r="C17" s="532">
        <v>143268.9439407399</v>
      </c>
      <c r="D17" s="533">
        <v>111603.40392826742</v>
      </c>
      <c r="E17" s="532">
        <v>111603.40392826742</v>
      </c>
      <c r="F17" s="533">
        <v>168612.04630122794</v>
      </c>
      <c r="G17" s="532">
        <v>111603.40392826742</v>
      </c>
      <c r="H17" s="532">
        <v>111603.40392826742</v>
      </c>
      <c r="I17" s="532">
        <v>141770.36060764623</v>
      </c>
      <c r="J17" s="533">
        <v>111603.40392826743</v>
      </c>
      <c r="K17" s="532">
        <v>111603.40392826743</v>
      </c>
      <c r="L17" s="533">
        <v>147817.3152242465</v>
      </c>
      <c r="M17" s="532">
        <v>111603.40392826746</v>
      </c>
      <c r="N17" s="532">
        <v>111603.40392826746</v>
      </c>
      <c r="O17" s="535">
        <f t="shared" si="0"/>
        <v>1494295.8975000002</v>
      </c>
    </row>
    <row r="18" spans="1:15" x14ac:dyDescent="0.2">
      <c r="A18" s="505" t="s">
        <v>151</v>
      </c>
      <c r="B18" s="517">
        <v>2.2100000000000002E-2</v>
      </c>
      <c r="C18" s="532">
        <v>93399.518026264079</v>
      </c>
      <c r="D18" s="533">
        <v>72756.201380964907</v>
      </c>
      <c r="E18" s="532">
        <v>72756.201380964907</v>
      </c>
      <c r="F18" s="533">
        <v>109921.12752970908</v>
      </c>
      <c r="G18" s="532">
        <v>72756.201380964907</v>
      </c>
      <c r="H18" s="532">
        <v>72756.201380964907</v>
      </c>
      <c r="I18" s="532">
        <v>92422.565469881461</v>
      </c>
      <c r="J18" s="533">
        <v>72756.201380964922</v>
      </c>
      <c r="K18" s="532">
        <v>72756.201380964922</v>
      </c>
      <c r="L18" s="533">
        <v>96364.680426426188</v>
      </c>
      <c r="M18" s="532">
        <v>72756.201380964936</v>
      </c>
      <c r="N18" s="532">
        <v>72756.201380964936</v>
      </c>
      <c r="O18" s="535">
        <f t="shared" si="0"/>
        <v>974157.50250000018</v>
      </c>
    </row>
    <row r="19" spans="1:15" x14ac:dyDescent="0.2">
      <c r="A19" s="505" t="s">
        <v>152</v>
      </c>
      <c r="B19" s="517">
        <v>3.95E-2</v>
      </c>
      <c r="C19" s="532">
        <v>166935.79013744032</v>
      </c>
      <c r="D19" s="533">
        <v>130039.36445919066</v>
      </c>
      <c r="E19" s="532">
        <v>130039.36445919066</v>
      </c>
      <c r="F19" s="533">
        <v>196465.36368432164</v>
      </c>
      <c r="G19" s="532">
        <v>130039.36445919066</v>
      </c>
      <c r="H19" s="532">
        <v>130039.36445919066</v>
      </c>
      <c r="I19" s="532">
        <v>165189.65321539898</v>
      </c>
      <c r="J19" s="533">
        <v>130039.36445919068</v>
      </c>
      <c r="K19" s="532">
        <v>130039.36445919068</v>
      </c>
      <c r="L19" s="533">
        <v>172235.51478931378</v>
      </c>
      <c r="M19" s="532">
        <v>130039.36445919071</v>
      </c>
      <c r="N19" s="532">
        <v>130039.36445919071</v>
      </c>
      <c r="O19" s="535">
        <f t="shared" si="0"/>
        <v>1741141.2375000003</v>
      </c>
    </row>
    <row r="20" spans="1:15" x14ac:dyDescent="0.2">
      <c r="A20" s="505" t="s">
        <v>261</v>
      </c>
      <c r="B20" s="517">
        <v>7.4999999999999997E-3</v>
      </c>
      <c r="C20" s="532">
        <v>31696.669013438033</v>
      </c>
      <c r="D20" s="533">
        <v>24691.018568200758</v>
      </c>
      <c r="E20" s="532">
        <v>24691.018568200758</v>
      </c>
      <c r="F20" s="533">
        <v>37303.550066643344</v>
      </c>
      <c r="G20" s="532">
        <v>24691.018568200758</v>
      </c>
      <c r="H20" s="532">
        <v>24691.018568200758</v>
      </c>
      <c r="I20" s="532">
        <v>31365.124028240312</v>
      </c>
      <c r="J20" s="533">
        <v>24691.018568200761</v>
      </c>
      <c r="K20" s="532">
        <v>24691.018568200761</v>
      </c>
      <c r="L20" s="533">
        <v>32702.945846072234</v>
      </c>
      <c r="M20" s="532">
        <v>24691.018568200769</v>
      </c>
      <c r="N20" s="532">
        <v>24691.018568200769</v>
      </c>
      <c r="O20" s="535">
        <f t="shared" si="0"/>
        <v>330596.4375</v>
      </c>
    </row>
    <row r="21" spans="1:15" x14ac:dyDescent="0.2">
      <c r="A21" s="505" t="s">
        <v>262</v>
      </c>
      <c r="B21" s="517">
        <v>2.2800000000000001E-2</v>
      </c>
      <c r="C21" s="532">
        <v>96357.873800851623</v>
      </c>
      <c r="D21" s="533">
        <v>75060.696447330309</v>
      </c>
      <c r="E21" s="532">
        <v>75060.696447330309</v>
      </c>
      <c r="F21" s="533">
        <v>113402.79220259578</v>
      </c>
      <c r="G21" s="532">
        <v>75060.696447330309</v>
      </c>
      <c r="H21" s="532">
        <v>75060.696447330309</v>
      </c>
      <c r="I21" s="532">
        <v>95349.977045850552</v>
      </c>
      <c r="J21" s="533">
        <v>75060.696447330323</v>
      </c>
      <c r="K21" s="532">
        <v>75060.696447330323</v>
      </c>
      <c r="L21" s="533">
        <v>99416.955372059601</v>
      </c>
      <c r="M21" s="532">
        <v>75060.696447330338</v>
      </c>
      <c r="N21" s="532">
        <v>75060.696447330338</v>
      </c>
      <c r="O21" s="535">
        <f t="shared" si="0"/>
        <v>1005013.1699999999</v>
      </c>
    </row>
    <row r="22" spans="1:15" x14ac:dyDescent="0.2">
      <c r="A22" s="505" t="s">
        <v>263</v>
      </c>
      <c r="B22" s="517">
        <v>8.8800000000000004E-2</v>
      </c>
      <c r="C22" s="532">
        <v>375288.56111910637</v>
      </c>
      <c r="D22" s="533">
        <v>292341.65984749701</v>
      </c>
      <c r="E22" s="532">
        <v>292341.65984749701</v>
      </c>
      <c r="F22" s="533">
        <v>441674.03278905724</v>
      </c>
      <c r="G22" s="532">
        <v>292341.65984749701</v>
      </c>
      <c r="H22" s="532">
        <v>292341.65984749701</v>
      </c>
      <c r="I22" s="532">
        <v>371363.06849436532</v>
      </c>
      <c r="J22" s="533">
        <v>292341.65984749701</v>
      </c>
      <c r="K22" s="532">
        <v>292341.65984749701</v>
      </c>
      <c r="L22" s="533">
        <v>387202.87881749531</v>
      </c>
      <c r="M22" s="532">
        <v>292341.65984749713</v>
      </c>
      <c r="N22" s="532">
        <v>292341.65984749713</v>
      </c>
      <c r="O22" s="535">
        <f t="shared" si="0"/>
        <v>3914261.8200000008</v>
      </c>
    </row>
    <row r="23" spans="1:15" x14ac:dyDescent="0.2">
      <c r="A23" s="505" t="s">
        <v>156</v>
      </c>
      <c r="B23" s="517">
        <v>3.9199999999999999E-2</v>
      </c>
      <c r="C23" s="532">
        <v>165667.92337690279</v>
      </c>
      <c r="D23" s="533">
        <v>129051.72371646263</v>
      </c>
      <c r="E23" s="532">
        <v>129051.72371646263</v>
      </c>
      <c r="F23" s="533">
        <v>194973.22168165588</v>
      </c>
      <c r="G23" s="532">
        <v>129051.72371646263</v>
      </c>
      <c r="H23" s="532">
        <v>129051.72371646263</v>
      </c>
      <c r="I23" s="532">
        <v>163935.04825426938</v>
      </c>
      <c r="J23" s="533">
        <v>129051.72371646264</v>
      </c>
      <c r="K23" s="532">
        <v>129051.72371646264</v>
      </c>
      <c r="L23" s="533">
        <v>170927.39695547087</v>
      </c>
      <c r="M23" s="532">
        <v>129051.72371646267</v>
      </c>
      <c r="N23" s="532">
        <v>129051.72371646267</v>
      </c>
      <c r="O23" s="535">
        <f t="shared" si="0"/>
        <v>1727917.3800000001</v>
      </c>
    </row>
    <row r="24" spans="1:15" x14ac:dyDescent="0.2">
      <c r="A24" s="505" t="s">
        <v>157</v>
      </c>
      <c r="B24" s="517">
        <v>0.35420000000000001</v>
      </c>
      <c r="C24" s="532">
        <v>1496928.0219413002</v>
      </c>
      <c r="D24" s="533">
        <v>1166074.5035808946</v>
      </c>
      <c r="E24" s="532">
        <v>1166074.5035808946</v>
      </c>
      <c r="F24" s="533">
        <v>1761722.3244806766</v>
      </c>
      <c r="G24" s="532">
        <v>1166074.5035808946</v>
      </c>
      <c r="H24" s="532">
        <v>1166074.5035808946</v>
      </c>
      <c r="I24" s="532">
        <v>1481270.2574403626</v>
      </c>
      <c r="J24" s="533">
        <v>1166074.5035808946</v>
      </c>
      <c r="K24" s="532">
        <v>1166074.5035808946</v>
      </c>
      <c r="L24" s="533">
        <v>1544451.1224905048</v>
      </c>
      <c r="M24" s="532">
        <v>1166074.503580895</v>
      </c>
      <c r="N24" s="532">
        <v>1166074.503580895</v>
      </c>
      <c r="O24" s="535">
        <f t="shared" si="0"/>
        <v>15612967.754999999</v>
      </c>
    </row>
    <row r="25" spans="1:15" x14ac:dyDescent="0.2">
      <c r="A25" s="505" t="s">
        <v>158</v>
      </c>
      <c r="B25" s="517">
        <v>0.03</v>
      </c>
      <c r="C25" s="532">
        <v>126786.67605375213</v>
      </c>
      <c r="D25" s="533">
        <v>98764.074272803031</v>
      </c>
      <c r="E25" s="532">
        <v>98764.074272803031</v>
      </c>
      <c r="F25" s="533">
        <v>149214.20026657337</v>
      </c>
      <c r="G25" s="532">
        <v>98764.074272803031</v>
      </c>
      <c r="H25" s="532">
        <v>98764.074272803031</v>
      </c>
      <c r="I25" s="532">
        <v>125460.49611296125</v>
      </c>
      <c r="J25" s="533">
        <v>98764.074272803045</v>
      </c>
      <c r="K25" s="532">
        <v>98764.074272803045</v>
      </c>
      <c r="L25" s="533">
        <v>130811.78338428894</v>
      </c>
      <c r="M25" s="532">
        <v>98764.074272803075</v>
      </c>
      <c r="N25" s="532">
        <v>98764.074272803075</v>
      </c>
      <c r="O25" s="535">
        <f t="shared" si="0"/>
        <v>1322385.75</v>
      </c>
    </row>
    <row r="26" spans="1:15" ht="13.5" thickBot="1" x14ac:dyDescent="0.25">
      <c r="A26" s="505" t="s">
        <v>159</v>
      </c>
      <c r="B26" s="518">
        <v>4.5199999999999997E-2</v>
      </c>
      <c r="C26" s="532">
        <v>191025.2585876532</v>
      </c>
      <c r="D26" s="533">
        <v>148804.53857102324</v>
      </c>
      <c r="E26" s="532">
        <v>148804.53857102324</v>
      </c>
      <c r="F26" s="533">
        <v>224816.06173497057</v>
      </c>
      <c r="G26" s="532">
        <v>148804.53857102324</v>
      </c>
      <c r="H26" s="532">
        <v>148804.53857102324</v>
      </c>
      <c r="I26" s="538">
        <v>189027.1474768616</v>
      </c>
      <c r="J26" s="533">
        <v>148804.53857102324</v>
      </c>
      <c r="K26" s="532">
        <v>148804.53857102324</v>
      </c>
      <c r="L26" s="533">
        <v>197089.75363232865</v>
      </c>
      <c r="M26" s="532">
        <v>148804.53857102329</v>
      </c>
      <c r="N26" s="532">
        <v>148804.53857102329</v>
      </c>
      <c r="O26" s="535">
        <f t="shared" si="0"/>
        <v>1992394.53</v>
      </c>
    </row>
    <row r="27" spans="1:15" ht="13.5" thickBot="1" x14ac:dyDescent="0.25">
      <c r="A27" s="510" t="s">
        <v>264</v>
      </c>
      <c r="B27" s="511">
        <f t="shared" ref="B27:N27" si="1">SUM(B7:B26)</f>
        <v>1</v>
      </c>
      <c r="C27" s="540">
        <f t="shared" si="1"/>
        <v>4226222.5351250712</v>
      </c>
      <c r="D27" s="540">
        <f t="shared" si="1"/>
        <v>3292135.8090934348</v>
      </c>
      <c r="E27" s="540">
        <f t="shared" si="1"/>
        <v>3292135.8090934348</v>
      </c>
      <c r="F27" s="540">
        <f t="shared" si="1"/>
        <v>4973806.6755524464</v>
      </c>
      <c r="G27" s="540">
        <f t="shared" si="1"/>
        <v>3292135.8090934348</v>
      </c>
      <c r="H27" s="540">
        <f t="shared" si="1"/>
        <v>3292135.8090934348</v>
      </c>
      <c r="I27" s="540">
        <f t="shared" si="1"/>
        <v>4182016.5370987086</v>
      </c>
      <c r="J27" s="540">
        <f t="shared" si="1"/>
        <v>3292135.8090934353</v>
      </c>
      <c r="K27" s="540">
        <f t="shared" si="1"/>
        <v>3292135.8090934353</v>
      </c>
      <c r="L27" s="540">
        <f t="shared" si="1"/>
        <v>4360392.779476299</v>
      </c>
      <c r="M27" s="540">
        <f t="shared" si="1"/>
        <v>3292135.8090934358</v>
      </c>
      <c r="N27" s="540">
        <f t="shared" si="1"/>
        <v>3292135.8090934358</v>
      </c>
      <c r="O27" s="540">
        <f t="shared" si="0"/>
        <v>44079525.000000007</v>
      </c>
    </row>
    <row r="28" spans="1:15" x14ac:dyDescent="0.2">
      <c r="A28" s="513"/>
      <c r="B28" s="513"/>
      <c r="C28" s="513"/>
      <c r="D28" s="513"/>
      <c r="E28" s="513"/>
      <c r="F28" s="513"/>
      <c r="G28" s="513"/>
      <c r="H28" s="513"/>
      <c r="I28" s="513"/>
      <c r="J28" s="513"/>
      <c r="K28" s="513"/>
      <c r="L28" s="513"/>
      <c r="M28" s="513"/>
      <c r="N28" s="513"/>
      <c r="O28" s="513"/>
    </row>
    <row r="29" spans="1:15" x14ac:dyDescent="0.2">
      <c r="A29" s="514" t="s">
        <v>265</v>
      </c>
    </row>
    <row r="31" spans="1:15" x14ac:dyDescent="0.2">
      <c r="A31" s="642" t="s">
        <v>295</v>
      </c>
      <c r="B31" s="642"/>
      <c r="C31" s="541">
        <f>'X22.55 POE'!B61</f>
        <v>14246977.968338873</v>
      </c>
      <c r="D31" s="541">
        <f>'X22.55 POE'!C61</f>
        <v>3822588.1735208547</v>
      </c>
      <c r="E31" s="541">
        <f>'X22.55 POE'!D61</f>
        <v>3822588.1735208547</v>
      </c>
      <c r="F31" s="541">
        <f>'X22.55 POE'!E61</f>
        <v>19361609.838736154</v>
      </c>
      <c r="G31" s="541">
        <f>'X22.55 POE'!F61</f>
        <v>3822588.1735208547</v>
      </c>
      <c r="H31" s="541">
        <f>'X22.55 POE'!G61</f>
        <v>3822588.1735208547</v>
      </c>
      <c r="I31" s="541">
        <f>'X22.55 POE'!H61</f>
        <v>20090504.380000368</v>
      </c>
      <c r="J31" s="541">
        <f>'X22.55 POE'!I61</f>
        <v>3822588.1735208547</v>
      </c>
      <c r="K31" s="541">
        <f>'X22.55 POE'!J61</f>
        <v>3822588.1735208547</v>
      </c>
      <c r="L31" s="541">
        <f>'X22.55 POE'!K61</f>
        <v>19430686.324757777</v>
      </c>
      <c r="M31" s="541">
        <f>'X22.55 POE'!L61</f>
        <v>3822588.1735208547</v>
      </c>
      <c r="N31" s="541">
        <f>'X22.55 POE'!M61</f>
        <v>3822588.1735208547</v>
      </c>
      <c r="O31" s="541">
        <f>SUM(C31:N31)</f>
        <v>103710483.89999998</v>
      </c>
    </row>
    <row r="32" spans="1:15" x14ac:dyDescent="0.2">
      <c r="A32" s="643" t="s">
        <v>304</v>
      </c>
      <c r="B32" s="644"/>
      <c r="C32" s="541">
        <f>'X22.55 POE'!B62</f>
        <v>4226222.5351250712</v>
      </c>
      <c r="D32" s="541">
        <f>'X22.55 POE'!C62</f>
        <v>3292135.8090934348</v>
      </c>
      <c r="E32" s="541">
        <f>'X22.55 POE'!D62</f>
        <v>3292135.8090934348</v>
      </c>
      <c r="F32" s="541">
        <f>'X22.55 POE'!E62</f>
        <v>4973806.6755524464</v>
      </c>
      <c r="G32" s="541">
        <f>'X22.55 POE'!F62</f>
        <v>3292135.8090934348</v>
      </c>
      <c r="H32" s="541">
        <f>'X22.55 POE'!G62</f>
        <v>3292135.8090934348</v>
      </c>
      <c r="I32" s="541">
        <f>'X22.55 POE'!H62</f>
        <v>4182016.5370987086</v>
      </c>
      <c r="J32" s="541">
        <f>'X22.55 POE'!I62</f>
        <v>3292135.8090934353</v>
      </c>
      <c r="K32" s="541">
        <f>'X22.55 POE'!J62</f>
        <v>3292135.8090934353</v>
      </c>
      <c r="L32" s="541">
        <f>'X22.55 POE'!K62</f>
        <v>4360392.779476299</v>
      </c>
      <c r="M32" s="541">
        <f>'X22.55 POE'!L62</f>
        <v>3292135.8090934358</v>
      </c>
      <c r="N32" s="541">
        <f>'X22.55 POE'!M62</f>
        <v>3292135.8090934358</v>
      </c>
      <c r="O32" s="541">
        <f>SUM(C32:N32)</f>
        <v>44079525.000000007</v>
      </c>
    </row>
    <row r="33" spans="1:15" x14ac:dyDescent="0.2">
      <c r="A33" s="1195" t="s">
        <v>290</v>
      </c>
      <c r="B33" s="1196"/>
      <c r="C33" s="541">
        <f>C31-C32</f>
        <v>10020755.433213802</v>
      </c>
      <c r="D33" s="541">
        <f t="shared" ref="D33:N33" si="2">D31-D32</f>
        <v>530452.36442741985</v>
      </c>
      <c r="E33" s="541">
        <f t="shared" si="2"/>
        <v>530452.36442741985</v>
      </c>
      <c r="F33" s="541">
        <f t="shared" si="2"/>
        <v>14387803.163183708</v>
      </c>
      <c r="G33" s="541">
        <f t="shared" si="2"/>
        <v>530452.36442741985</v>
      </c>
      <c r="H33" s="541">
        <f t="shared" si="2"/>
        <v>530452.36442741985</v>
      </c>
      <c r="I33" s="541">
        <f t="shared" si="2"/>
        <v>15908487.842901658</v>
      </c>
      <c r="J33" s="541">
        <f t="shared" si="2"/>
        <v>530452.36442741938</v>
      </c>
      <c r="K33" s="541">
        <f t="shared" si="2"/>
        <v>530452.36442741938</v>
      </c>
      <c r="L33" s="541">
        <f t="shared" si="2"/>
        <v>15070293.545281477</v>
      </c>
      <c r="M33" s="541">
        <f t="shared" si="2"/>
        <v>530452.36442741891</v>
      </c>
      <c r="N33" s="541">
        <f t="shared" si="2"/>
        <v>530452.36442741891</v>
      </c>
      <c r="O33" s="541">
        <f t="shared" ref="O33" si="3">O31-O32</f>
        <v>59630958.899999969</v>
      </c>
    </row>
    <row r="34" spans="1:15" x14ac:dyDescent="0.2">
      <c r="A34" s="513"/>
      <c r="B34" s="513"/>
    </row>
  </sheetData>
  <mergeCells count="5">
    <mergeCell ref="A1:O1"/>
    <mergeCell ref="A2:O2"/>
    <mergeCell ref="A3:O3"/>
    <mergeCell ref="A4:O4"/>
    <mergeCell ref="A33:B33"/>
  </mergeCells>
  <printOptions horizontalCentered="1"/>
  <pageMargins left="0.78740157480314965" right="0.78740157480314965" top="0.98425196850393704" bottom="0.98425196850393704" header="0" footer="0"/>
  <pageSetup paperSize="5"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O36"/>
  <sheetViews>
    <sheetView zoomScaleNormal="100" workbookViewId="0">
      <selection sqref="A1:O1"/>
    </sheetView>
  </sheetViews>
  <sheetFormatPr baseColWidth="10" defaultColWidth="11.42578125" defaultRowHeight="12.75" x14ac:dyDescent="0.2"/>
  <cols>
    <col min="1" max="1" width="16.85546875" style="308" customWidth="1"/>
    <col min="2" max="2" width="9.28515625" style="308" bestFit="1" customWidth="1"/>
    <col min="3" max="3" width="9.85546875" style="308" customWidth="1"/>
    <col min="4" max="5" width="10" style="308" customWidth="1"/>
    <col min="6" max="6" width="9.5703125" style="308" customWidth="1"/>
    <col min="7" max="7" width="9.42578125" style="308" customWidth="1"/>
    <col min="8" max="8" width="8.85546875" style="308" customWidth="1"/>
    <col min="9" max="9" width="9.85546875" style="308" customWidth="1"/>
    <col min="10" max="10" width="9.42578125" style="308" customWidth="1"/>
    <col min="11" max="12" width="9.7109375" style="308" customWidth="1"/>
    <col min="13" max="13" width="10.42578125" style="308" customWidth="1"/>
    <col min="14" max="14" width="10.5703125" style="308" customWidth="1"/>
    <col min="15" max="15" width="12.7109375" style="308" bestFit="1" customWidth="1"/>
    <col min="16" max="16384" width="11.42578125" style="308"/>
  </cols>
  <sheetData>
    <row r="1" spans="1:15" ht="15.75" x14ac:dyDescent="0.25">
      <c r="A1" s="980" t="s">
        <v>536</v>
      </c>
      <c r="B1" s="980"/>
      <c r="C1" s="980"/>
      <c r="D1" s="980"/>
      <c r="E1" s="980"/>
      <c r="F1" s="980"/>
      <c r="G1" s="980"/>
      <c r="H1" s="980"/>
      <c r="I1" s="980"/>
      <c r="J1" s="980"/>
      <c r="K1" s="980"/>
      <c r="L1" s="980"/>
      <c r="M1" s="980"/>
      <c r="N1" s="980"/>
      <c r="O1" s="980"/>
    </row>
    <row r="2" spans="1:15" x14ac:dyDescent="0.2">
      <c r="A2" s="981" t="s">
        <v>255</v>
      </c>
      <c r="B2" s="981"/>
      <c r="C2" s="981"/>
      <c r="D2" s="981"/>
      <c r="E2" s="981"/>
      <c r="F2" s="981"/>
      <c r="G2" s="981"/>
      <c r="H2" s="981"/>
      <c r="I2" s="981"/>
      <c r="J2" s="981"/>
      <c r="K2" s="981"/>
      <c r="L2" s="981"/>
      <c r="M2" s="981"/>
      <c r="N2" s="981"/>
      <c r="O2" s="981"/>
    </row>
    <row r="3" spans="1:15" x14ac:dyDescent="0.2">
      <c r="A3" s="981" t="s">
        <v>256</v>
      </c>
      <c r="B3" s="981"/>
      <c r="C3" s="981"/>
      <c r="D3" s="981"/>
      <c r="E3" s="981"/>
      <c r="F3" s="981"/>
      <c r="G3" s="981"/>
      <c r="H3" s="981"/>
      <c r="I3" s="981"/>
      <c r="J3" s="981"/>
      <c r="K3" s="981"/>
      <c r="L3" s="981"/>
      <c r="M3" s="981"/>
      <c r="N3" s="981"/>
      <c r="O3" s="981"/>
    </row>
    <row r="4" spans="1:15" x14ac:dyDescent="0.2">
      <c r="A4" s="982" t="s">
        <v>535</v>
      </c>
      <c r="B4" s="982"/>
      <c r="C4" s="982"/>
      <c r="D4" s="982"/>
      <c r="E4" s="982"/>
      <c r="F4" s="982"/>
      <c r="G4" s="982"/>
      <c r="H4" s="982"/>
      <c r="I4" s="982"/>
      <c r="J4" s="982"/>
      <c r="K4" s="982"/>
      <c r="L4" s="982"/>
      <c r="M4" s="982"/>
      <c r="N4" s="982"/>
      <c r="O4" s="982"/>
    </row>
    <row r="5" spans="1:15" ht="13.5" thickBot="1" x14ac:dyDescent="0.25">
      <c r="O5" s="962" t="s">
        <v>539</v>
      </c>
    </row>
    <row r="6" spans="1:15" ht="23.25" thickBot="1" x14ac:dyDescent="0.25">
      <c r="A6" s="309" t="s">
        <v>13</v>
      </c>
      <c r="B6" s="646" t="s">
        <v>257</v>
      </c>
      <c r="C6" s="309" t="s">
        <v>1</v>
      </c>
      <c r="D6" s="310" t="s">
        <v>2</v>
      </c>
      <c r="E6" s="309" t="s">
        <v>3</v>
      </c>
      <c r="F6" s="310" t="s">
        <v>4</v>
      </c>
      <c r="G6" s="309" t="s">
        <v>5</v>
      </c>
      <c r="H6" s="309" t="s">
        <v>6</v>
      </c>
      <c r="I6" s="309" t="s">
        <v>7</v>
      </c>
      <c r="J6" s="310" t="s">
        <v>8</v>
      </c>
      <c r="K6" s="309" t="s">
        <v>9</v>
      </c>
      <c r="L6" s="310" t="s">
        <v>10</v>
      </c>
      <c r="M6" s="309" t="s">
        <v>11</v>
      </c>
      <c r="N6" s="309" t="s">
        <v>12</v>
      </c>
      <c r="O6" s="311" t="s">
        <v>160</v>
      </c>
    </row>
    <row r="7" spans="1:15" x14ac:dyDescent="0.2">
      <c r="A7" s="312" t="s">
        <v>258</v>
      </c>
      <c r="B7" s="313">
        <v>3.9399999999999998E-2</v>
      </c>
      <c r="C7" s="314">
        <v>56963.546951054755</v>
      </c>
      <c r="D7" s="315">
        <v>86906.697217008536</v>
      </c>
      <c r="E7" s="314">
        <v>59746.246585840105</v>
      </c>
      <c r="F7" s="315">
        <v>67867.982827057887</v>
      </c>
      <c r="G7" s="314">
        <v>64660.762935787861</v>
      </c>
      <c r="H7" s="314">
        <v>67599.96159390721</v>
      </c>
      <c r="I7" s="316">
        <v>68696.572300394633</v>
      </c>
      <c r="J7" s="315">
        <v>71269.225402021868</v>
      </c>
      <c r="K7" s="314">
        <v>68949.326174828399</v>
      </c>
      <c r="L7" s="315">
        <v>67391.350673871697</v>
      </c>
      <c r="M7" s="314">
        <v>65860.428313614349</v>
      </c>
      <c r="N7" s="314">
        <v>66121.899024612852</v>
      </c>
      <c r="O7" s="317">
        <f>SUM(C7:N7)</f>
        <v>812034</v>
      </c>
    </row>
    <row r="8" spans="1:15" x14ac:dyDescent="0.2">
      <c r="A8" s="312" t="s">
        <v>141</v>
      </c>
      <c r="B8" s="318">
        <v>5.7799999999999997E-2</v>
      </c>
      <c r="C8" s="314">
        <v>83565.812532257987</v>
      </c>
      <c r="D8" s="315">
        <v>127492.56596809882</v>
      </c>
      <c r="E8" s="314">
        <v>87648.047021866951</v>
      </c>
      <c r="F8" s="315">
        <v>99562.675314820954</v>
      </c>
      <c r="G8" s="314">
        <v>94857.667454023816</v>
      </c>
      <c r="H8" s="314">
        <v>99169.486805275053</v>
      </c>
      <c r="I8" s="314">
        <v>100778.22027824391</v>
      </c>
      <c r="J8" s="315">
        <v>104552.31543748386</v>
      </c>
      <c r="K8" s="314">
        <v>101149.01149505284</v>
      </c>
      <c r="L8" s="315">
        <v>98863.453526644254</v>
      </c>
      <c r="M8" s="314">
        <v>96617.582652967249</v>
      </c>
      <c r="N8" s="314">
        <v>97001.161513264538</v>
      </c>
      <c r="O8" s="317">
        <f t="shared" ref="O8:O26" si="0">SUM(C8:N8)</f>
        <v>1191258.0000000002</v>
      </c>
    </row>
    <row r="9" spans="1:15" x14ac:dyDescent="0.2">
      <c r="A9" s="312" t="s">
        <v>142</v>
      </c>
      <c r="B9" s="318">
        <v>6.1199999999999997E-2</v>
      </c>
      <c r="C9" s="314">
        <v>88481.44856356729</v>
      </c>
      <c r="D9" s="315">
        <v>134992.12867210462</v>
      </c>
      <c r="E9" s="314">
        <v>92803.814493741476</v>
      </c>
      <c r="F9" s="315">
        <v>105419.30327451631</v>
      </c>
      <c r="G9" s="314">
        <v>100437.53024543698</v>
      </c>
      <c r="H9" s="314">
        <v>105002.98602911476</v>
      </c>
      <c r="I9" s="314">
        <v>106706.3508828465</v>
      </c>
      <c r="J9" s="315">
        <v>110702.45163968879</v>
      </c>
      <c r="K9" s="314">
        <v>107098.95334770301</v>
      </c>
      <c r="L9" s="315">
        <v>104678.95079291746</v>
      </c>
      <c r="M9" s="314">
        <v>102300.96986784769</v>
      </c>
      <c r="N9" s="314">
        <v>102707.1121905154</v>
      </c>
      <c r="O9" s="317">
        <f t="shared" si="0"/>
        <v>1261332.0000000005</v>
      </c>
    </row>
    <row r="10" spans="1:15" x14ac:dyDescent="0.2">
      <c r="A10" s="312" t="s">
        <v>349</v>
      </c>
      <c r="B10" s="318">
        <v>5.0799999999999998E-2</v>
      </c>
      <c r="C10" s="314">
        <v>73445.385408974151</v>
      </c>
      <c r="D10" s="315">
        <v>112052.28981279273</v>
      </c>
      <c r="E10" s="314">
        <v>77033.231638595869</v>
      </c>
      <c r="F10" s="315">
        <v>87504.911868389361</v>
      </c>
      <c r="G10" s="314">
        <v>83369.714648173191</v>
      </c>
      <c r="H10" s="314">
        <v>87159.341344428598</v>
      </c>
      <c r="I10" s="314">
        <v>88573.245504062128</v>
      </c>
      <c r="J10" s="315">
        <v>91890.270315297239</v>
      </c>
      <c r="K10" s="314">
        <v>88899.131210184845</v>
      </c>
      <c r="L10" s="315">
        <v>86890.370919611218</v>
      </c>
      <c r="M10" s="314">
        <v>84916.491328213437</v>
      </c>
      <c r="N10" s="314">
        <v>85253.616001277493</v>
      </c>
      <c r="O10" s="317">
        <f t="shared" si="0"/>
        <v>1046988.0000000002</v>
      </c>
    </row>
    <row r="11" spans="1:15" x14ac:dyDescent="0.2">
      <c r="A11" s="312" t="s">
        <v>144</v>
      </c>
      <c r="B11" s="318">
        <v>3.0700000000000002E-2</v>
      </c>
      <c r="C11" s="314">
        <v>44385.301812116275</v>
      </c>
      <c r="D11" s="315">
        <v>67716.63970969955</v>
      </c>
      <c r="E11" s="314">
        <v>46553.54746663176</v>
      </c>
      <c r="F11" s="315">
        <v>52881.905400778611</v>
      </c>
      <c r="G11" s="314">
        <v>50382.878734230646</v>
      </c>
      <c r="H11" s="314">
        <v>52673.066521140907</v>
      </c>
      <c r="I11" s="314">
        <v>53527.532223911563</v>
      </c>
      <c r="J11" s="315">
        <v>55532.112178732787</v>
      </c>
      <c r="K11" s="314">
        <v>53724.474963635337</v>
      </c>
      <c r="L11" s="315">
        <v>52510.519433702058</v>
      </c>
      <c r="M11" s="314">
        <v>51317.643381420326</v>
      </c>
      <c r="N11" s="314">
        <v>51521.378174000376</v>
      </c>
      <c r="O11" s="317">
        <f t="shared" si="0"/>
        <v>632727.00000000023</v>
      </c>
    </row>
    <row r="12" spans="1:15" x14ac:dyDescent="0.2">
      <c r="A12" s="312" t="s">
        <v>260</v>
      </c>
      <c r="B12" s="318">
        <v>9.5100000000000004E-2</v>
      </c>
      <c r="C12" s="314">
        <v>137493.23134632761</v>
      </c>
      <c r="D12" s="315">
        <v>209767.18033851555</v>
      </c>
      <c r="E12" s="314">
        <v>144209.84899272575</v>
      </c>
      <c r="F12" s="315">
        <v>163813.32910794936</v>
      </c>
      <c r="G12" s="314">
        <v>156072.0445480565</v>
      </c>
      <c r="H12" s="314">
        <v>163166.40476092836</v>
      </c>
      <c r="I12" s="314">
        <v>165813.30014638402</v>
      </c>
      <c r="J12" s="315">
        <v>172022.92730284977</v>
      </c>
      <c r="K12" s="314">
        <v>166423.37358442086</v>
      </c>
      <c r="L12" s="315">
        <v>162662.87941840605</v>
      </c>
      <c r="M12" s="314">
        <v>158967.68356915549</v>
      </c>
      <c r="N12" s="314">
        <v>159598.7968842813</v>
      </c>
      <c r="O12" s="317">
        <f t="shared" si="0"/>
        <v>1960011.0000000005</v>
      </c>
    </row>
    <row r="13" spans="1:15" x14ac:dyDescent="0.2">
      <c r="A13" s="312" t="s">
        <v>146</v>
      </c>
      <c r="B13" s="318">
        <v>9.3299999999999994E-2</v>
      </c>
      <c r="C13" s="314">
        <v>134890.83580034031</v>
      </c>
      <c r="D13" s="315">
        <v>205796.82361286538</v>
      </c>
      <c r="E13" s="314">
        <v>141480.32503702745</v>
      </c>
      <c r="F13" s="315">
        <v>160712.76136458124</v>
      </c>
      <c r="G13" s="314">
        <v>153117.99954083774</v>
      </c>
      <c r="H13" s="314">
        <v>160078.08164242495</v>
      </c>
      <c r="I13" s="314">
        <v>162674.87806159441</v>
      </c>
      <c r="J13" s="315">
        <v>168766.9728428589</v>
      </c>
      <c r="K13" s="314">
        <v>163273.40436831192</v>
      </c>
      <c r="L13" s="315">
        <v>159584.08674802611</v>
      </c>
      <c r="M13" s="314">
        <v>155958.83151421876</v>
      </c>
      <c r="N13" s="314">
        <v>156577.99946691317</v>
      </c>
      <c r="O13" s="317">
        <f t="shared" si="0"/>
        <v>1922913.0000000005</v>
      </c>
    </row>
    <row r="14" spans="1:15" x14ac:dyDescent="0.2">
      <c r="A14" s="312" t="s">
        <v>147</v>
      </c>
      <c r="B14" s="318">
        <v>4.5199999999999997E-2</v>
      </c>
      <c r="C14" s="314">
        <v>65349.043710347076</v>
      </c>
      <c r="D14" s="315">
        <v>99700.068888547859</v>
      </c>
      <c r="E14" s="314">
        <v>68541.379331978998</v>
      </c>
      <c r="F14" s="315">
        <v>77858.701111244067</v>
      </c>
      <c r="G14" s="314">
        <v>74179.352403492667</v>
      </c>
      <c r="H14" s="314">
        <v>77551.224975751422</v>
      </c>
      <c r="I14" s="314">
        <v>78809.265684716695</v>
      </c>
      <c r="J14" s="315">
        <v>81760.634217547937</v>
      </c>
      <c r="K14" s="314">
        <v>79099.226982290449</v>
      </c>
      <c r="L14" s="315">
        <v>77311.90483398478</v>
      </c>
      <c r="M14" s="314">
        <v>75555.618268410384</v>
      </c>
      <c r="N14" s="314">
        <v>75855.579591687841</v>
      </c>
      <c r="O14" s="317">
        <f t="shared" si="0"/>
        <v>931572.00000000035</v>
      </c>
    </row>
    <row r="15" spans="1:15" x14ac:dyDescent="0.2">
      <c r="A15" s="312" t="s">
        <v>148</v>
      </c>
      <c r="B15" s="318">
        <v>5.0799999999999998E-2</v>
      </c>
      <c r="C15" s="314">
        <v>73445.385408974151</v>
      </c>
      <c r="D15" s="315">
        <v>112052.28981279273</v>
      </c>
      <c r="E15" s="314">
        <v>77033.231638595869</v>
      </c>
      <c r="F15" s="315">
        <v>87504.911868389361</v>
      </c>
      <c r="G15" s="314">
        <v>83369.714648173191</v>
      </c>
      <c r="H15" s="314">
        <v>87159.341344428598</v>
      </c>
      <c r="I15" s="314">
        <v>88573.245504062128</v>
      </c>
      <c r="J15" s="315">
        <v>91890.270315297239</v>
      </c>
      <c r="K15" s="314">
        <v>88899.131210184845</v>
      </c>
      <c r="L15" s="315">
        <v>86890.370919611218</v>
      </c>
      <c r="M15" s="314">
        <v>84916.491328213437</v>
      </c>
      <c r="N15" s="314">
        <v>85253.616001277493</v>
      </c>
      <c r="O15" s="317">
        <f t="shared" si="0"/>
        <v>1046988.0000000002</v>
      </c>
    </row>
    <row r="16" spans="1:15" x14ac:dyDescent="0.2">
      <c r="A16" s="312" t="s">
        <v>149</v>
      </c>
      <c r="B16" s="318">
        <v>8.9200000000000002E-2</v>
      </c>
      <c r="C16" s="314">
        <v>128963.15705670265</v>
      </c>
      <c r="D16" s="315">
        <v>196753.23329332899</v>
      </c>
      <c r="E16" s="314">
        <v>135263.07602682582</v>
      </c>
      <c r="F16" s="315">
        <v>153650.35706024274</v>
      </c>
      <c r="G16" s="314">
        <v>146389.34146883953</v>
      </c>
      <c r="H16" s="314">
        <v>153043.5678725006</v>
      </c>
      <c r="I16" s="314">
        <v>155526.24997957365</v>
      </c>
      <c r="J16" s="315">
        <v>161350.6321284353</v>
      </c>
      <c r="K16" s="314">
        <v>156098.47448717497</v>
      </c>
      <c r="L16" s="315">
        <v>152571.28122104963</v>
      </c>
      <c r="M16" s="314">
        <v>149105.33516686296</v>
      </c>
      <c r="N16" s="314">
        <v>149697.29423846363</v>
      </c>
      <c r="O16" s="317">
        <f t="shared" si="0"/>
        <v>1838412.0000000005</v>
      </c>
    </row>
    <row r="17" spans="1:15" x14ac:dyDescent="0.2">
      <c r="A17" s="312" t="s">
        <v>150</v>
      </c>
      <c r="B17" s="318">
        <v>5.0200000000000002E-2</v>
      </c>
      <c r="C17" s="314">
        <v>72577.9202269784</v>
      </c>
      <c r="D17" s="315">
        <v>110728.83757090935</v>
      </c>
      <c r="E17" s="314">
        <v>76123.390320029779</v>
      </c>
      <c r="F17" s="315">
        <v>86471.389287266647</v>
      </c>
      <c r="G17" s="314">
        <v>82385.032979100273</v>
      </c>
      <c r="H17" s="314">
        <v>86129.900304927476</v>
      </c>
      <c r="I17" s="314">
        <v>87527.104809132259</v>
      </c>
      <c r="J17" s="315">
        <v>90804.952161966954</v>
      </c>
      <c r="K17" s="314">
        <v>87849.141471481882</v>
      </c>
      <c r="L17" s="315">
        <v>85864.106696151255</v>
      </c>
      <c r="M17" s="314">
        <v>83913.540643234548</v>
      </c>
      <c r="N17" s="314">
        <v>84246.683528821464</v>
      </c>
      <c r="O17" s="317">
        <f t="shared" si="0"/>
        <v>1034622.0000000002</v>
      </c>
    </row>
    <row r="18" spans="1:15" x14ac:dyDescent="0.2">
      <c r="A18" s="312" t="s">
        <v>151</v>
      </c>
      <c r="B18" s="318">
        <v>4.2900000000000001E-2</v>
      </c>
      <c r="C18" s="314">
        <v>62023.760512696681</v>
      </c>
      <c r="D18" s="315">
        <v>94626.835294661578</v>
      </c>
      <c r="E18" s="314">
        <v>65053.654277475653</v>
      </c>
      <c r="F18" s="315">
        <v>73896.864550273691</v>
      </c>
      <c r="G18" s="314">
        <v>70404.739338713189</v>
      </c>
      <c r="H18" s="314">
        <v>73605.034324330452</v>
      </c>
      <c r="I18" s="314">
        <v>74799.05968748554</v>
      </c>
      <c r="J18" s="315">
        <v>77600.247963115195</v>
      </c>
      <c r="K18" s="314">
        <v>75074.266317262402</v>
      </c>
      <c r="L18" s="315">
        <v>73377.891977388223</v>
      </c>
      <c r="M18" s="314">
        <v>71710.973975991277</v>
      </c>
      <c r="N18" s="314">
        <v>71995.671780606383</v>
      </c>
      <c r="O18" s="317">
        <f t="shared" si="0"/>
        <v>884169.00000000023</v>
      </c>
    </row>
    <row r="19" spans="1:15" x14ac:dyDescent="0.2">
      <c r="A19" s="312" t="s">
        <v>152</v>
      </c>
      <c r="B19" s="318">
        <v>3.04E-2</v>
      </c>
      <c r="C19" s="314">
        <v>43951.569221118392</v>
      </c>
      <c r="D19" s="315">
        <v>67054.91358875786</v>
      </c>
      <c r="E19" s="314">
        <v>46098.626807348708</v>
      </c>
      <c r="F19" s="315">
        <v>52365.144110217254</v>
      </c>
      <c r="G19" s="314">
        <v>49890.537899694187</v>
      </c>
      <c r="H19" s="314">
        <v>52158.346001390346</v>
      </c>
      <c r="I19" s="314">
        <v>53004.461876446629</v>
      </c>
      <c r="J19" s="315">
        <v>54989.453102067637</v>
      </c>
      <c r="K19" s="314">
        <v>53199.480094283848</v>
      </c>
      <c r="L19" s="315">
        <v>51997.38732197207</v>
      </c>
      <c r="M19" s="314">
        <v>50816.168038930875</v>
      </c>
      <c r="N19" s="314">
        <v>51017.911937772355</v>
      </c>
      <c r="O19" s="317">
        <f t="shared" si="0"/>
        <v>626544.00000000023</v>
      </c>
    </row>
    <row r="20" spans="1:15" x14ac:dyDescent="0.2">
      <c r="A20" s="312" t="s">
        <v>261</v>
      </c>
      <c r="B20" s="318">
        <v>6.7000000000000004E-2</v>
      </c>
      <c r="C20" s="314">
        <v>96866.94532285961</v>
      </c>
      <c r="D20" s="315">
        <v>147785.50034364397</v>
      </c>
      <c r="E20" s="314">
        <v>101598.94723988039</v>
      </c>
      <c r="F20" s="315">
        <v>115410.02155870252</v>
      </c>
      <c r="G20" s="314">
        <v>109956.1197131418</v>
      </c>
      <c r="H20" s="314">
        <v>114954.24941095899</v>
      </c>
      <c r="I20" s="314">
        <v>116819.04426716856</v>
      </c>
      <c r="J20" s="315">
        <v>121193.86045521488</v>
      </c>
      <c r="K20" s="314">
        <v>117248.85415516507</v>
      </c>
      <c r="L20" s="315">
        <v>114599.50495303056</v>
      </c>
      <c r="M20" s="314">
        <v>111996.15982264372</v>
      </c>
      <c r="N20" s="314">
        <v>112440.7927575904</v>
      </c>
      <c r="O20" s="317">
        <f t="shared" si="0"/>
        <v>1380870.0000000002</v>
      </c>
    </row>
    <row r="21" spans="1:15" x14ac:dyDescent="0.2">
      <c r="A21" s="312" t="s">
        <v>262</v>
      </c>
      <c r="B21" s="318">
        <v>5.0799999999999998E-2</v>
      </c>
      <c r="C21" s="314">
        <v>73445.385408974151</v>
      </c>
      <c r="D21" s="315">
        <v>112052.28981279273</v>
      </c>
      <c r="E21" s="314">
        <v>77033.231638595869</v>
      </c>
      <c r="F21" s="315">
        <v>87504.911868389361</v>
      </c>
      <c r="G21" s="314">
        <v>83369.714648173191</v>
      </c>
      <c r="H21" s="314">
        <v>87159.341344428598</v>
      </c>
      <c r="I21" s="314">
        <v>88573.245504062128</v>
      </c>
      <c r="J21" s="315">
        <v>91890.270315297239</v>
      </c>
      <c r="K21" s="314">
        <v>88899.131210184845</v>
      </c>
      <c r="L21" s="315">
        <v>86890.370919611218</v>
      </c>
      <c r="M21" s="314">
        <v>84916.491328213437</v>
      </c>
      <c r="N21" s="314">
        <v>85253.616001277493</v>
      </c>
      <c r="O21" s="317">
        <f t="shared" si="0"/>
        <v>1046988.0000000002</v>
      </c>
    </row>
    <row r="22" spans="1:15" x14ac:dyDescent="0.2">
      <c r="A22" s="312" t="s">
        <v>263</v>
      </c>
      <c r="B22" s="318">
        <v>1.7000000000000001E-2</v>
      </c>
      <c r="C22" s="314">
        <v>24578.18015654647</v>
      </c>
      <c r="D22" s="315">
        <v>37497.813520029071</v>
      </c>
      <c r="E22" s="314">
        <v>25778.837359372636</v>
      </c>
      <c r="F22" s="315">
        <v>29283.139798476757</v>
      </c>
      <c r="G22" s="314">
        <v>27899.313957065831</v>
      </c>
      <c r="H22" s="314">
        <v>29167.496119198549</v>
      </c>
      <c r="I22" s="314">
        <v>29640.653023012917</v>
      </c>
      <c r="J22" s="315">
        <v>30750.68101102467</v>
      </c>
      <c r="K22" s="314">
        <v>29749.709263250839</v>
      </c>
      <c r="L22" s="315">
        <v>29077.486331365963</v>
      </c>
      <c r="M22" s="314">
        <v>28416.936074402136</v>
      </c>
      <c r="N22" s="314">
        <v>28529.75338625428</v>
      </c>
      <c r="O22" s="317">
        <f t="shared" si="0"/>
        <v>350370.00000000012</v>
      </c>
    </row>
    <row r="23" spans="1:15" x14ac:dyDescent="0.2">
      <c r="A23" s="312" t="s">
        <v>156</v>
      </c>
      <c r="B23" s="318">
        <v>4.0800000000000003E-2</v>
      </c>
      <c r="C23" s="314">
        <v>58987.632375711531</v>
      </c>
      <c r="D23" s="315">
        <v>89994.752448069761</v>
      </c>
      <c r="E23" s="314">
        <v>61869.20966249433</v>
      </c>
      <c r="F23" s="315">
        <v>70279.535516344215</v>
      </c>
      <c r="G23" s="314">
        <v>66958.353496957992</v>
      </c>
      <c r="H23" s="314">
        <v>70001.990686076519</v>
      </c>
      <c r="I23" s="314">
        <v>71137.567255230999</v>
      </c>
      <c r="J23" s="315">
        <v>73801.634426459204</v>
      </c>
      <c r="K23" s="314">
        <v>71399.302231802008</v>
      </c>
      <c r="L23" s="315">
        <v>69785.96719527831</v>
      </c>
      <c r="M23" s="314">
        <v>68200.646578565123</v>
      </c>
      <c r="N23" s="314">
        <v>68471.408127010276</v>
      </c>
      <c r="O23" s="317">
        <f t="shared" si="0"/>
        <v>840888.00000000023</v>
      </c>
    </row>
    <row r="24" spans="1:15" x14ac:dyDescent="0.2">
      <c r="A24" s="312" t="s">
        <v>157</v>
      </c>
      <c r="B24" s="318">
        <v>3.7000000000000002E-3</v>
      </c>
      <c r="C24" s="314">
        <v>5349.3686223071727</v>
      </c>
      <c r="D24" s="315">
        <v>8161.2888249475027</v>
      </c>
      <c r="E24" s="314">
        <v>5610.6881311575735</v>
      </c>
      <c r="F24" s="315">
        <v>6373.389250256706</v>
      </c>
      <c r="G24" s="314">
        <v>6072.2036259496217</v>
      </c>
      <c r="H24" s="314">
        <v>6348.2197435902726</v>
      </c>
      <c r="I24" s="314">
        <v>6451.2009520675174</v>
      </c>
      <c r="J24" s="315">
        <v>6692.795278870075</v>
      </c>
      <c r="K24" s="314">
        <v>6474.9367220016529</v>
      </c>
      <c r="L24" s="315">
        <v>6328.6293780031801</v>
      </c>
      <c r="M24" s="314">
        <v>6184.8625573698764</v>
      </c>
      <c r="N24" s="314">
        <v>6209.4169134788726</v>
      </c>
      <c r="O24" s="317">
        <f t="shared" si="0"/>
        <v>76257.000000000015</v>
      </c>
    </row>
    <row r="25" spans="1:15" x14ac:dyDescent="0.2">
      <c r="A25" s="312" t="s">
        <v>158</v>
      </c>
      <c r="B25" s="318">
        <v>3.7699999999999997E-2</v>
      </c>
      <c r="C25" s="314">
        <v>54505.728935400104</v>
      </c>
      <c r="D25" s="315">
        <v>83156.91586500562</v>
      </c>
      <c r="E25" s="314">
        <v>57168.362849902842</v>
      </c>
      <c r="F25" s="315">
        <v>64939.668847210211</v>
      </c>
      <c r="G25" s="314">
        <v>61870.831540081279</v>
      </c>
      <c r="H25" s="314">
        <v>64683.211981987362</v>
      </c>
      <c r="I25" s="314">
        <v>65732.506998093348</v>
      </c>
      <c r="J25" s="315">
        <v>68194.157300919396</v>
      </c>
      <c r="K25" s="314">
        <v>65974.355248503314</v>
      </c>
      <c r="L25" s="315">
        <v>64483.602040735095</v>
      </c>
      <c r="M25" s="314">
        <v>63018.734706174146</v>
      </c>
      <c r="N25" s="314">
        <v>63268.923685987422</v>
      </c>
      <c r="O25" s="317">
        <f t="shared" si="0"/>
        <v>776997</v>
      </c>
    </row>
    <row r="26" spans="1:15" ht="13.5" thickBot="1" x14ac:dyDescent="0.25">
      <c r="A26" s="312" t="s">
        <v>159</v>
      </c>
      <c r="B26" s="319">
        <v>4.5999999999999999E-2</v>
      </c>
      <c r="C26" s="314">
        <v>66505.663953008087</v>
      </c>
      <c r="D26" s="315">
        <v>101464.6718777257</v>
      </c>
      <c r="E26" s="314">
        <v>69754.501090067133</v>
      </c>
      <c r="F26" s="315">
        <v>79236.73121940768</v>
      </c>
      <c r="G26" s="314">
        <v>75492.261295589895</v>
      </c>
      <c r="H26" s="314">
        <v>78923.813028419594</v>
      </c>
      <c r="I26" s="320">
        <v>80204.119944623177</v>
      </c>
      <c r="J26" s="315">
        <v>83207.725088654974</v>
      </c>
      <c r="K26" s="314">
        <v>80499.213300561081</v>
      </c>
      <c r="L26" s="315">
        <v>78680.257131931416</v>
      </c>
      <c r="M26" s="314">
        <v>76892.885848382241</v>
      </c>
      <c r="N26" s="314">
        <v>77198.156221629222</v>
      </c>
      <c r="O26" s="317">
        <f t="shared" si="0"/>
        <v>948060.00000000023</v>
      </c>
    </row>
    <row r="27" spans="1:15" ht="13.5" thickBot="1" x14ac:dyDescent="0.25">
      <c r="A27" s="321" t="s">
        <v>264</v>
      </c>
      <c r="B27" s="322">
        <f>SUM(B7:B26)</f>
        <v>1</v>
      </c>
      <c r="C27" s="323">
        <f>SUM(C7:C26)</f>
        <v>1445775.3033262629</v>
      </c>
      <c r="D27" s="323">
        <f t="shared" ref="D27:O27" si="1">SUM(D7:D26)</f>
        <v>2205753.7364722979</v>
      </c>
      <c r="E27" s="323">
        <f t="shared" si="1"/>
        <v>1516402.197610155</v>
      </c>
      <c r="F27" s="323">
        <f t="shared" si="1"/>
        <v>1722537.6352045152</v>
      </c>
      <c r="G27" s="323">
        <f t="shared" si="1"/>
        <v>1641136.1151215194</v>
      </c>
      <c r="H27" s="323">
        <f t="shared" si="1"/>
        <v>1715735.0658352086</v>
      </c>
      <c r="I27" s="323">
        <f t="shared" si="1"/>
        <v>1743567.8248831125</v>
      </c>
      <c r="J27" s="323">
        <f t="shared" si="1"/>
        <v>1808863.5888838039</v>
      </c>
      <c r="K27" s="323">
        <f t="shared" si="1"/>
        <v>1749982.8978382845</v>
      </c>
      <c r="L27" s="323">
        <f t="shared" si="1"/>
        <v>1710440.3724332915</v>
      </c>
      <c r="M27" s="323">
        <f t="shared" si="1"/>
        <v>1671584.474964832</v>
      </c>
      <c r="N27" s="323">
        <f t="shared" si="1"/>
        <v>1678220.787426722</v>
      </c>
      <c r="O27" s="323">
        <f t="shared" si="1"/>
        <v>20610000.000000004</v>
      </c>
    </row>
    <row r="28" spans="1:15" x14ac:dyDescent="0.2">
      <c r="A28" s="444" t="s">
        <v>265</v>
      </c>
      <c r="B28" s="440"/>
      <c r="C28" s="440"/>
      <c r="D28" s="440"/>
      <c r="E28" s="440"/>
      <c r="F28" s="440"/>
      <c r="G28" s="440"/>
      <c r="H28" s="440"/>
      <c r="I28" s="440"/>
      <c r="J28" s="440"/>
      <c r="K28" s="440"/>
      <c r="L28" s="440"/>
      <c r="M28" s="440"/>
      <c r="N28" s="440"/>
      <c r="O28" s="440"/>
    </row>
    <row r="29" spans="1:15" x14ac:dyDescent="0.2">
      <c r="A29" s="439"/>
      <c r="B29" s="441"/>
      <c r="C29" s="441"/>
      <c r="D29" s="441"/>
      <c r="E29" s="441"/>
      <c r="F29" s="441"/>
      <c r="G29" s="441"/>
      <c r="H29" s="441"/>
      <c r="I29" s="441"/>
      <c r="J29" s="441"/>
      <c r="K29" s="441"/>
      <c r="L29" s="441"/>
      <c r="M29" s="441"/>
      <c r="N29" s="441"/>
      <c r="O29" s="441"/>
    </row>
    <row r="30" spans="1:15" x14ac:dyDescent="0.2">
      <c r="A30" s="442" t="s">
        <v>266</v>
      </c>
      <c r="B30" s="443"/>
      <c r="C30" s="443"/>
      <c r="D30" s="443"/>
      <c r="E30" s="443"/>
      <c r="F30" s="443"/>
      <c r="G30" s="443"/>
      <c r="H30" s="443"/>
      <c r="I30" s="443"/>
      <c r="J30" s="443"/>
      <c r="K30" s="443"/>
      <c r="L30" s="443"/>
      <c r="M30" s="443"/>
      <c r="N30" s="443"/>
      <c r="O30" s="443"/>
    </row>
    <row r="31" spans="1:15" ht="27" customHeight="1" x14ac:dyDescent="0.2">
      <c r="A31" s="983" t="s">
        <v>267</v>
      </c>
      <c r="B31" s="984"/>
      <c r="C31" s="984"/>
      <c r="D31" s="984"/>
      <c r="E31" s="984"/>
      <c r="F31" s="984"/>
      <c r="G31" s="984"/>
      <c r="H31" s="984"/>
      <c r="I31" s="984"/>
      <c r="J31" s="984"/>
      <c r="K31" s="984"/>
      <c r="L31" s="984"/>
      <c r="M31" s="984"/>
      <c r="N31" s="984"/>
      <c r="O31" s="984"/>
    </row>
    <row r="34" spans="3:15" hidden="1" x14ac:dyDescent="0.2">
      <c r="C34" s="640">
        <f>ROUND(C27,2)</f>
        <v>1445775.3</v>
      </c>
      <c r="D34" s="640">
        <f t="shared" ref="D34:N34" si="2">ROUND(D27,2)</f>
        <v>2205753.7400000002</v>
      </c>
      <c r="E34" s="640">
        <f t="shared" si="2"/>
        <v>1516402.2</v>
      </c>
      <c r="F34" s="640">
        <f t="shared" si="2"/>
        <v>1722537.64</v>
      </c>
      <c r="G34" s="640">
        <f t="shared" si="2"/>
        <v>1641136.12</v>
      </c>
      <c r="H34" s="640">
        <f t="shared" si="2"/>
        <v>1715735.07</v>
      </c>
      <c r="I34" s="640">
        <f t="shared" si="2"/>
        <v>1743567.82</v>
      </c>
      <c r="J34" s="640">
        <f t="shared" si="2"/>
        <v>1808863.59</v>
      </c>
      <c r="K34" s="640">
        <f t="shared" si="2"/>
        <v>1749982.9</v>
      </c>
      <c r="L34" s="640">
        <f t="shared" si="2"/>
        <v>1710440.37</v>
      </c>
      <c r="M34" s="640">
        <f t="shared" si="2"/>
        <v>1671584.47</v>
      </c>
      <c r="N34" s="640">
        <f t="shared" si="2"/>
        <v>1678220.79</v>
      </c>
    </row>
    <row r="35" spans="3:15" hidden="1" x14ac:dyDescent="0.2"/>
    <row r="36" spans="3:15" hidden="1" x14ac:dyDescent="0.2">
      <c r="C36" s="641">
        <v>1445775.3</v>
      </c>
      <c r="D36" s="641">
        <v>2205753.7400000002</v>
      </c>
      <c r="E36" s="641">
        <v>1516402.2</v>
      </c>
      <c r="F36" s="641">
        <v>1722537.64</v>
      </c>
      <c r="G36" s="641">
        <v>1641136.12</v>
      </c>
      <c r="H36" s="641">
        <v>1715735.07</v>
      </c>
      <c r="I36" s="641">
        <v>1743567.82</v>
      </c>
      <c r="J36" s="641">
        <v>1808863.59</v>
      </c>
      <c r="K36" s="641">
        <v>1749982.9</v>
      </c>
      <c r="L36" s="641">
        <v>1710440.37</v>
      </c>
      <c r="M36" s="641">
        <v>1671584.47</v>
      </c>
      <c r="N36" s="641">
        <v>1678220.79</v>
      </c>
      <c r="O36" s="641">
        <f>SUM(C36:N36)</f>
        <v>20610000.009999998</v>
      </c>
    </row>
  </sheetData>
  <mergeCells count="5">
    <mergeCell ref="A1:O1"/>
    <mergeCell ref="A2:O2"/>
    <mergeCell ref="A3:O3"/>
    <mergeCell ref="A4:O4"/>
    <mergeCell ref="A31:O31"/>
  </mergeCells>
  <printOptions horizontalCentered="1"/>
  <pageMargins left="0.39" right="0.74803149606299213" top="0.98425196850393704" bottom="0.98425196850393704" header="0" footer="0"/>
  <pageSetup paperSize="5" scale="85" orientation="landscape" r:id="rId1"/>
  <headerFooter alignWithMargins="0"/>
  <ignoredErrors>
    <ignoredError sqref="O7 O8:O26"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4" tint="0.39997558519241921"/>
  </sheetPr>
  <dimension ref="A1:Q36"/>
  <sheetViews>
    <sheetView workbookViewId="0">
      <selection activeCell="Q23" sqref="Q23"/>
    </sheetView>
  </sheetViews>
  <sheetFormatPr baseColWidth="10" defaultRowHeight="12.75" x14ac:dyDescent="0.2"/>
  <cols>
    <col min="1" max="1" width="16.85546875" style="500" customWidth="1"/>
    <col min="2" max="2" width="9.28515625" style="500" bestFit="1" customWidth="1"/>
    <col min="3" max="14" width="11.7109375" style="500" bestFit="1" customWidth="1"/>
    <col min="15" max="15" width="13"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296</v>
      </c>
      <c r="B4" s="1193"/>
      <c r="C4" s="1193"/>
      <c r="D4" s="1193"/>
      <c r="E4" s="1193"/>
      <c r="F4" s="1193"/>
      <c r="G4" s="1193"/>
      <c r="H4" s="1193"/>
      <c r="I4" s="1193"/>
      <c r="J4" s="1193"/>
      <c r="K4" s="1193"/>
      <c r="L4" s="1193"/>
      <c r="M4" s="1193"/>
      <c r="N4" s="1193"/>
      <c r="O4" s="1193"/>
    </row>
    <row r="5" spans="1:15" ht="13.5" thickBot="1" x14ac:dyDescent="0.25"/>
    <row r="6" spans="1:15" ht="34.5" thickBot="1" x14ac:dyDescent="0.25">
      <c r="A6" s="501" t="s">
        <v>13</v>
      </c>
      <c r="B6" s="502" t="s">
        <v>378</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31">
        <f>'CUADRO 9 IEPS GyD '!D8</f>
        <v>3.0136241193535018</v>
      </c>
      <c r="C7" s="507">
        <f>$C$27*B7/100</f>
        <v>190838.76767551171</v>
      </c>
      <c r="D7" s="507">
        <f>$D$27*B7/100</f>
        <v>195162.79089015294</v>
      </c>
      <c r="E7" s="507">
        <f>$E$27*B7/100</f>
        <v>192110.51328319879</v>
      </c>
      <c r="F7" s="507">
        <f>$F$27*B7/100</f>
        <v>176704.31759628464</v>
      </c>
      <c r="G7" s="507">
        <f>$G$27*B7/100</f>
        <v>198133.98543359654</v>
      </c>
      <c r="H7" s="507">
        <f>$H$27*B7/100</f>
        <v>194328.77041751548</v>
      </c>
      <c r="I7" s="507">
        <f>$I$27*B7/100</f>
        <v>204562.88646285541</v>
      </c>
      <c r="J7" s="507">
        <f>$J$27*B7/100</f>
        <v>198834.79317285636</v>
      </c>
      <c r="K7" s="507">
        <f>$K$27*B7/100</f>
        <v>205078.35857952505</v>
      </c>
      <c r="L7" s="507">
        <f>$L$27*B7/100</f>
        <v>205947.12990518904</v>
      </c>
      <c r="M7" s="507">
        <f>$M$27*B7/100</f>
        <v>196251.64869143363</v>
      </c>
      <c r="N7" s="507">
        <f>$N$27*B7/100</f>
        <v>204591.8466371533</v>
      </c>
      <c r="O7" s="508">
        <f>SUM(C7:N7)</f>
        <v>2362545.8087452725</v>
      </c>
    </row>
    <row r="8" spans="1:15" x14ac:dyDescent="0.2">
      <c r="A8" s="505" t="s">
        <v>141</v>
      </c>
      <c r="B8" s="536">
        <f>'CUADRO 9 IEPS GyD '!D9</f>
        <v>1.2459367229589724</v>
      </c>
      <c r="C8" s="507">
        <f t="shared" ref="C8:C26" si="0">$C$27*B8/100</f>
        <v>78899.364815995708</v>
      </c>
      <c r="D8" s="507">
        <f t="shared" ref="D8:D26" si="1">$D$27*B8/100</f>
        <v>80687.065969384523</v>
      </c>
      <c r="E8" s="507">
        <f t="shared" ref="E8:E26" si="2">$E$27*B8/100</f>
        <v>79425.148554154483</v>
      </c>
      <c r="F8" s="507">
        <f t="shared" ref="F8:F26" si="3">$F$27*B8/100</f>
        <v>73055.692972701174</v>
      </c>
      <c r="G8" s="507">
        <f t="shared" ref="G8:G26" si="4">$G$27*B8/100</f>
        <v>81915.460834211204</v>
      </c>
      <c r="H8" s="507">
        <f t="shared" ref="H8:H26" si="5">$H$27*B8/100</f>
        <v>80342.252982295249</v>
      </c>
      <c r="I8" s="507">
        <f t="shared" ref="I8:I26" si="6">$I$27*B8/100</f>
        <v>84573.391472999952</v>
      </c>
      <c r="J8" s="507">
        <f t="shared" ref="J8:J26" si="7">$J$27*B8/100</f>
        <v>82205.199057525198</v>
      </c>
      <c r="K8" s="507">
        <f t="shared" ref="K8:K26" si="8">$K$27*B8/100</f>
        <v>84786.505522524429</v>
      </c>
      <c r="L8" s="507">
        <f t="shared" ref="L8:L26" si="9">$L$27*B8/100</f>
        <v>85145.685717409098</v>
      </c>
      <c r="M8" s="507">
        <f t="shared" ref="M8:M26" si="10">$M$27*B8/100</f>
        <v>81137.237545854063</v>
      </c>
      <c r="N8" s="507">
        <f t="shared" ref="N8:N26" si="11">$N$27*B8/100</f>
        <v>84585.364613389058</v>
      </c>
      <c r="O8" s="508">
        <f t="shared" ref="O8:O26" si="12">SUM(C8:N8)</f>
        <v>976758.37005844421</v>
      </c>
    </row>
    <row r="9" spans="1:15" x14ac:dyDescent="0.2">
      <c r="A9" s="505" t="s">
        <v>142</v>
      </c>
      <c r="B9" s="536">
        <f>'CUADRO 9 IEPS GyD '!D10</f>
        <v>0.93374430169912959</v>
      </c>
      <c r="C9" s="507">
        <f t="shared" si="0"/>
        <v>59129.674041273713</v>
      </c>
      <c r="D9" s="507">
        <f t="shared" si="1"/>
        <v>60469.433705113988</v>
      </c>
      <c r="E9" s="507">
        <f t="shared" si="2"/>
        <v>59523.712968279462</v>
      </c>
      <c r="F9" s="507">
        <f t="shared" si="3"/>
        <v>54750.241936794679</v>
      </c>
      <c r="G9" s="507">
        <f t="shared" si="4"/>
        <v>61390.031584711243</v>
      </c>
      <c r="H9" s="507">
        <f t="shared" si="5"/>
        <v>60211.019970360408</v>
      </c>
      <c r="I9" s="507">
        <f t="shared" si="6"/>
        <v>63381.96868917867</v>
      </c>
      <c r="J9" s="507">
        <f t="shared" si="7"/>
        <v>61607.170553343101</v>
      </c>
      <c r="K9" s="507">
        <f t="shared" si="8"/>
        <v>63541.683083729076</v>
      </c>
      <c r="L9" s="507">
        <f t="shared" si="9"/>
        <v>63810.864057430728</v>
      </c>
      <c r="M9" s="507">
        <f t="shared" si="10"/>
        <v>60806.806491845142</v>
      </c>
      <c r="N9" s="507">
        <f t="shared" si="11"/>
        <v>63390.941738456168</v>
      </c>
      <c r="O9" s="508">
        <f t="shared" si="12"/>
        <v>732013.54882051633</v>
      </c>
    </row>
    <row r="10" spans="1:15" x14ac:dyDescent="0.2">
      <c r="A10" s="505" t="s">
        <v>259</v>
      </c>
      <c r="B10" s="536">
        <f>'CUADRO 9 IEPS GyD '!D11</f>
        <v>15.187266887691669</v>
      </c>
      <c r="C10" s="507">
        <f t="shared" si="0"/>
        <v>961738.81758948253</v>
      </c>
      <c r="D10" s="507">
        <f t="shared" si="1"/>
        <v>983529.88773907314</v>
      </c>
      <c r="E10" s="507">
        <f t="shared" si="2"/>
        <v>968147.82521361066</v>
      </c>
      <c r="F10" s="507">
        <f t="shared" si="3"/>
        <v>890507.74922717223</v>
      </c>
      <c r="G10" s="507">
        <f t="shared" si="4"/>
        <v>998503.32925646158</v>
      </c>
      <c r="H10" s="507">
        <f t="shared" si="5"/>
        <v>979326.81163996737</v>
      </c>
      <c r="I10" s="507">
        <f t="shared" si="6"/>
        <v>1030902.0066823831</v>
      </c>
      <c r="J10" s="507">
        <f t="shared" si="7"/>
        <v>1002035.0750056235</v>
      </c>
      <c r="K10" s="507">
        <f t="shared" si="8"/>
        <v>1033499.746911083</v>
      </c>
      <c r="L10" s="507">
        <f t="shared" si="9"/>
        <v>1037877.951180985</v>
      </c>
      <c r="M10" s="507">
        <f t="shared" si="10"/>
        <v>989017.22570023302</v>
      </c>
      <c r="N10" s="507">
        <f t="shared" si="11"/>
        <v>1031047.9525199383</v>
      </c>
      <c r="O10" s="508">
        <f t="shared" si="12"/>
        <v>11906134.378666013</v>
      </c>
    </row>
    <row r="11" spans="1:15" x14ac:dyDescent="0.2">
      <c r="A11" s="505" t="s">
        <v>144</v>
      </c>
      <c r="B11" s="536">
        <f>'CUADRO 9 IEPS GyD '!D12</f>
        <v>6.2678071902196431</v>
      </c>
      <c r="C11" s="507">
        <f t="shared" si="0"/>
        <v>396911.01240118511</v>
      </c>
      <c r="D11" s="507">
        <f t="shared" si="1"/>
        <v>405904.21882708103</v>
      </c>
      <c r="E11" s="507">
        <f t="shared" si="2"/>
        <v>399556.01919310755</v>
      </c>
      <c r="F11" s="507">
        <f t="shared" si="3"/>
        <v>367513.84662080725</v>
      </c>
      <c r="G11" s="507">
        <f t="shared" si="4"/>
        <v>412083.77997518203</v>
      </c>
      <c r="H11" s="507">
        <f t="shared" si="5"/>
        <v>404169.60319216608</v>
      </c>
      <c r="I11" s="507">
        <f t="shared" si="6"/>
        <v>425454.76139175094</v>
      </c>
      <c r="J11" s="507">
        <f t="shared" si="7"/>
        <v>413541.33659575909</v>
      </c>
      <c r="K11" s="507">
        <f t="shared" si="8"/>
        <v>426526.85257209121</v>
      </c>
      <c r="L11" s="507">
        <f t="shared" si="9"/>
        <v>428333.74385846104</v>
      </c>
      <c r="M11" s="507">
        <f t="shared" si="10"/>
        <v>408168.85120514221</v>
      </c>
      <c r="N11" s="507">
        <f t="shared" si="11"/>
        <v>425514.99345172435</v>
      </c>
      <c r="O11" s="508">
        <f t="shared" si="12"/>
        <v>4913679.0192844588</v>
      </c>
    </row>
    <row r="12" spans="1:15" x14ac:dyDescent="0.2">
      <c r="A12" s="505" t="s">
        <v>260</v>
      </c>
      <c r="B12" s="536">
        <f>'CUADRO 9 IEPS GyD '!D13</f>
        <v>3.8487813406547868</v>
      </c>
      <c r="C12" s="507">
        <f t="shared" si="0"/>
        <v>243725.38147213642</v>
      </c>
      <c r="D12" s="507">
        <f t="shared" si="1"/>
        <v>249247.70914339204</v>
      </c>
      <c r="E12" s="507">
        <f t="shared" si="2"/>
        <v>245349.5623822546</v>
      </c>
      <c r="F12" s="507">
        <f t="shared" si="3"/>
        <v>225673.89078489837</v>
      </c>
      <c r="G12" s="507">
        <f t="shared" si="4"/>
        <v>253042.3025184657</v>
      </c>
      <c r="H12" s="507">
        <f t="shared" si="5"/>
        <v>248182.55891042284</v>
      </c>
      <c r="I12" s="507">
        <f t="shared" si="6"/>
        <v>261252.8269045116</v>
      </c>
      <c r="J12" s="507">
        <f t="shared" si="7"/>
        <v>253937.32314593144</v>
      </c>
      <c r="K12" s="507">
        <f t="shared" si="8"/>
        <v>261911.15036679248</v>
      </c>
      <c r="L12" s="507">
        <f t="shared" si="9"/>
        <v>263020.68185946875</v>
      </c>
      <c r="M12" s="507">
        <f t="shared" si="10"/>
        <v>250638.31906096023</v>
      </c>
      <c r="N12" s="507">
        <f t="shared" si="11"/>
        <v>261289.81273089387</v>
      </c>
      <c r="O12" s="508">
        <f t="shared" si="12"/>
        <v>3017271.5192801286</v>
      </c>
    </row>
    <row r="13" spans="1:15" x14ac:dyDescent="0.2">
      <c r="A13" s="505" t="s">
        <v>146</v>
      </c>
      <c r="B13" s="536">
        <f>'CUADRO 9 IEPS GyD '!D14</f>
        <v>0.98991789266473262</v>
      </c>
      <c r="C13" s="507">
        <f t="shared" si="0"/>
        <v>62686.885707765046</v>
      </c>
      <c r="D13" s="507">
        <f t="shared" si="1"/>
        <v>64107.24464403122</v>
      </c>
      <c r="E13" s="507">
        <f t="shared" si="2"/>
        <v>63104.629819873255</v>
      </c>
      <c r="F13" s="507">
        <f t="shared" si="3"/>
        <v>58043.989154559553</v>
      </c>
      <c r="G13" s="507">
        <f t="shared" si="4"/>
        <v>65083.225232404518</v>
      </c>
      <c r="H13" s="507">
        <f t="shared" si="5"/>
        <v>63833.284868022522</v>
      </c>
      <c r="I13" s="507">
        <f t="shared" si="6"/>
        <v>67194.996278489518</v>
      </c>
      <c r="J13" s="507">
        <f t="shared" si="7"/>
        <v>65313.427172970369</v>
      </c>
      <c r="K13" s="507">
        <f t="shared" si="8"/>
        <v>67364.319011269647</v>
      </c>
      <c r="L13" s="507">
        <f t="shared" si="9"/>
        <v>67649.693777945373</v>
      </c>
      <c r="M13" s="507">
        <f t="shared" si="10"/>
        <v>64464.913609159681</v>
      </c>
      <c r="N13" s="507">
        <f t="shared" si="11"/>
        <v>67204.509141931267</v>
      </c>
      <c r="O13" s="508">
        <f t="shared" si="12"/>
        <v>776051.11841842206</v>
      </c>
    </row>
    <row r="14" spans="1:15" x14ac:dyDescent="0.2">
      <c r="A14" s="505" t="s">
        <v>147</v>
      </c>
      <c r="B14" s="536">
        <f>'CUADRO 9 IEPS GyD '!D15</f>
        <v>2.3715130283878989</v>
      </c>
      <c r="C14" s="507">
        <f t="shared" si="0"/>
        <v>150176.86544168505</v>
      </c>
      <c r="D14" s="507">
        <f t="shared" si="1"/>
        <v>153579.57161287579</v>
      </c>
      <c r="E14" s="507">
        <f t="shared" si="2"/>
        <v>151177.64097240119</v>
      </c>
      <c r="F14" s="507">
        <f t="shared" si="3"/>
        <v>139054.03419782832</v>
      </c>
      <c r="G14" s="507">
        <f t="shared" si="4"/>
        <v>155917.69550974818</v>
      </c>
      <c r="H14" s="507">
        <f t="shared" si="5"/>
        <v>152923.25538415305</v>
      </c>
      <c r="I14" s="507">
        <f t="shared" si="6"/>
        <v>160976.7944369145</v>
      </c>
      <c r="J14" s="507">
        <f t="shared" si="7"/>
        <v>156469.18256262134</v>
      </c>
      <c r="K14" s="507">
        <f t="shared" si="8"/>
        <v>161382.43521759522</v>
      </c>
      <c r="L14" s="507">
        <f t="shared" si="9"/>
        <v>162066.09795584806</v>
      </c>
      <c r="M14" s="507">
        <f t="shared" si="10"/>
        <v>154436.42713285115</v>
      </c>
      <c r="N14" s="507">
        <f t="shared" si="11"/>
        <v>160999.58408417369</v>
      </c>
      <c r="O14" s="508">
        <f t="shared" si="12"/>
        <v>1859159.5845086954</v>
      </c>
    </row>
    <row r="15" spans="1:15" x14ac:dyDescent="0.2">
      <c r="A15" s="505" t="s">
        <v>148</v>
      </c>
      <c r="B15" s="536">
        <f>'CUADRO 9 IEPS GyD '!D16</f>
        <v>1.563876010153336</v>
      </c>
      <c r="C15" s="507">
        <f t="shared" si="0"/>
        <v>99032.977821727603</v>
      </c>
      <c r="D15" s="507">
        <f t="shared" si="1"/>
        <v>101276.86621155577</v>
      </c>
      <c r="E15" s="507">
        <f t="shared" si="2"/>
        <v>99692.931541273196</v>
      </c>
      <c r="F15" s="507">
        <f t="shared" si="3"/>
        <v>91698.112383912114</v>
      </c>
      <c r="G15" s="507">
        <f t="shared" si="4"/>
        <v>102818.72401596792</v>
      </c>
      <c r="H15" s="507">
        <f t="shared" si="5"/>
        <v>100844.06352698799</v>
      </c>
      <c r="I15" s="507">
        <f t="shared" si="6"/>
        <v>106154.90785745675</v>
      </c>
      <c r="J15" s="507">
        <f t="shared" si="7"/>
        <v>103182.39790751926</v>
      </c>
      <c r="K15" s="507">
        <f t="shared" si="8"/>
        <v>106422.40454756669</v>
      </c>
      <c r="L15" s="507">
        <f t="shared" si="9"/>
        <v>106873.24067732481</v>
      </c>
      <c r="M15" s="507">
        <f t="shared" si="10"/>
        <v>101841.91298794556</v>
      </c>
      <c r="N15" s="507">
        <f t="shared" si="11"/>
        <v>106169.9363149022</v>
      </c>
      <c r="O15" s="508">
        <f t="shared" si="12"/>
        <v>1226008.4757941398</v>
      </c>
    </row>
    <row r="16" spans="1:15" x14ac:dyDescent="0.2">
      <c r="A16" s="505" t="s">
        <v>149</v>
      </c>
      <c r="B16" s="536">
        <f>'CUADRO 9 IEPS GyD '!D17</f>
        <v>1.1104401937422297</v>
      </c>
      <c r="C16" s="507">
        <f t="shared" si="0"/>
        <v>70319.001228522393</v>
      </c>
      <c r="D16" s="507">
        <f t="shared" si="1"/>
        <v>71912.288574935752</v>
      </c>
      <c r="E16" s="507">
        <f t="shared" si="2"/>
        <v>70787.605600886454</v>
      </c>
      <c r="F16" s="507">
        <f t="shared" si="3"/>
        <v>65110.832969043542</v>
      </c>
      <c r="G16" s="507">
        <f t="shared" si="4"/>
        <v>73007.094600438082</v>
      </c>
      <c r="H16" s="507">
        <f t="shared" si="5"/>
        <v>71604.974252199594</v>
      </c>
      <c r="I16" s="507">
        <f t="shared" si="6"/>
        <v>75375.973339705466</v>
      </c>
      <c r="J16" s="507">
        <f t="shared" si="7"/>
        <v>73265.323580211014</v>
      </c>
      <c r="K16" s="507">
        <f t="shared" si="8"/>
        <v>75565.911080589402</v>
      </c>
      <c r="L16" s="507">
        <f t="shared" si="9"/>
        <v>75886.030166772907</v>
      </c>
      <c r="M16" s="507">
        <f t="shared" si="10"/>
        <v>72313.503663455587</v>
      </c>
      <c r="N16" s="507">
        <f t="shared" si="11"/>
        <v>75386.644392326663</v>
      </c>
      <c r="O16" s="508">
        <f t="shared" si="12"/>
        <v>870535.18344908685</v>
      </c>
    </row>
    <row r="17" spans="1:17" x14ac:dyDescent="0.2">
      <c r="A17" s="505" t="s">
        <v>150</v>
      </c>
      <c r="B17" s="536">
        <f>'CUADRO 9 IEPS GyD '!D18</f>
        <v>2.7169725186489848</v>
      </c>
      <c r="C17" s="507">
        <f t="shared" si="0"/>
        <v>172053.2046240842</v>
      </c>
      <c r="D17" s="507">
        <f t="shared" si="1"/>
        <v>175951.58470696612</v>
      </c>
      <c r="E17" s="507">
        <f t="shared" si="2"/>
        <v>173199.76362744774</v>
      </c>
      <c r="F17" s="507">
        <f t="shared" si="3"/>
        <v>159310.10498373676</v>
      </c>
      <c r="G17" s="507">
        <f t="shared" si="4"/>
        <v>178630.30428259383</v>
      </c>
      <c r="H17" s="507">
        <f t="shared" si="5"/>
        <v>175199.66256458807</v>
      </c>
      <c r="I17" s="507">
        <f t="shared" si="6"/>
        <v>184426.36468356976</v>
      </c>
      <c r="J17" s="507">
        <f t="shared" si="7"/>
        <v>179262.12673058844</v>
      </c>
      <c r="K17" s="507">
        <f t="shared" si="8"/>
        <v>184891.0953598764</v>
      </c>
      <c r="L17" s="507">
        <f t="shared" si="9"/>
        <v>185674.34759152026</v>
      </c>
      <c r="M17" s="507">
        <f t="shared" si="10"/>
        <v>176933.25879956366</v>
      </c>
      <c r="N17" s="507">
        <f t="shared" si="11"/>
        <v>184452.47411015592</v>
      </c>
      <c r="O17" s="508">
        <f t="shared" si="12"/>
        <v>2129984.2920646914</v>
      </c>
    </row>
    <row r="18" spans="1:17" x14ac:dyDescent="0.2">
      <c r="A18" s="505" t="s">
        <v>151</v>
      </c>
      <c r="B18" s="536">
        <f>'CUADRO 9 IEPS GyD '!D19</f>
        <v>1.9503729796933278</v>
      </c>
      <c r="C18" s="507">
        <f t="shared" si="0"/>
        <v>123508.02927345109</v>
      </c>
      <c r="D18" s="507">
        <f t="shared" si="1"/>
        <v>126306.47317600787</v>
      </c>
      <c r="E18" s="507">
        <f t="shared" si="2"/>
        <v>124331.08423055323</v>
      </c>
      <c r="F18" s="507">
        <f t="shared" si="3"/>
        <v>114360.42213150179</v>
      </c>
      <c r="G18" s="507">
        <f t="shared" si="4"/>
        <v>128229.38636140797</v>
      </c>
      <c r="H18" s="507">
        <f t="shared" si="5"/>
        <v>125766.70745542688</v>
      </c>
      <c r="I18" s="507">
        <f t="shared" si="6"/>
        <v>132390.07606921368</v>
      </c>
      <c r="J18" s="507">
        <f t="shared" si="7"/>
        <v>128682.93877022847</v>
      </c>
      <c r="K18" s="507">
        <f t="shared" si="8"/>
        <v>132723.68200290707</v>
      </c>
      <c r="L18" s="507">
        <f t="shared" si="9"/>
        <v>133285.9379618456</v>
      </c>
      <c r="M18" s="507">
        <f t="shared" si="10"/>
        <v>127011.16584843106</v>
      </c>
      <c r="N18" s="507">
        <f t="shared" si="11"/>
        <v>132408.81866590155</v>
      </c>
      <c r="O18" s="508">
        <f t="shared" si="12"/>
        <v>1529004.7219468765</v>
      </c>
    </row>
    <row r="19" spans="1:17" x14ac:dyDescent="0.2">
      <c r="A19" s="505" t="s">
        <v>152</v>
      </c>
      <c r="B19" s="536">
        <f>'CUADRO 9 IEPS GyD '!D20</f>
        <v>3.3605405615416495</v>
      </c>
      <c r="C19" s="507">
        <f t="shared" si="0"/>
        <v>212807.36883196971</v>
      </c>
      <c r="D19" s="507">
        <f t="shared" si="1"/>
        <v>217629.1564293449</v>
      </c>
      <c r="E19" s="507">
        <f t="shared" si="2"/>
        <v>214225.51274419445</v>
      </c>
      <c r="F19" s="507">
        <f t="shared" si="3"/>
        <v>197045.81698438295</v>
      </c>
      <c r="G19" s="507">
        <f t="shared" si="4"/>
        <v>220942.3830906763</v>
      </c>
      <c r="H19" s="507">
        <f t="shared" si="5"/>
        <v>216699.12683160746</v>
      </c>
      <c r="I19" s="507">
        <f t="shared" si="6"/>
        <v>228111.35367868587</v>
      </c>
      <c r="J19" s="507">
        <f t="shared" si="7"/>
        <v>221723.8650341279</v>
      </c>
      <c r="K19" s="507">
        <f t="shared" si="8"/>
        <v>228686.16489860124</v>
      </c>
      <c r="L19" s="507">
        <f t="shared" si="9"/>
        <v>229654.94572957777</v>
      </c>
      <c r="M19" s="507">
        <f t="shared" si="10"/>
        <v>218843.35921709664</v>
      </c>
      <c r="N19" s="507">
        <f t="shared" si="11"/>
        <v>228143.6476332545</v>
      </c>
      <c r="O19" s="508">
        <f t="shared" si="12"/>
        <v>2634512.7011035196</v>
      </c>
    </row>
    <row r="20" spans="1:17" x14ac:dyDescent="0.2">
      <c r="A20" s="505" t="s">
        <v>261</v>
      </c>
      <c r="B20" s="536">
        <f>'CUADRO 9 IEPS GyD '!D21</f>
        <v>0.62187564753418989</v>
      </c>
      <c r="C20" s="507">
        <f t="shared" si="0"/>
        <v>39380.485927453716</v>
      </c>
      <c r="D20" s="507">
        <f t="shared" si="1"/>
        <v>40272.768650866063</v>
      </c>
      <c r="E20" s="507">
        <f t="shared" si="2"/>
        <v>39642.9166726154</v>
      </c>
      <c r="F20" s="507">
        <f t="shared" si="3"/>
        <v>36463.775034708182</v>
      </c>
      <c r="G20" s="507">
        <f t="shared" si="4"/>
        <v>40885.888753930012</v>
      </c>
      <c r="H20" s="507">
        <f t="shared" si="5"/>
        <v>40100.66456590491</v>
      </c>
      <c r="I20" s="507">
        <f t="shared" si="6"/>
        <v>42212.52300961857</v>
      </c>
      <c r="J20" s="507">
        <f t="shared" si="7"/>
        <v>41030.50375878426</v>
      </c>
      <c r="K20" s="507">
        <f t="shared" si="8"/>
        <v>42318.893128665964</v>
      </c>
      <c r="L20" s="507">
        <f t="shared" si="9"/>
        <v>42498.168217167164</v>
      </c>
      <c r="M20" s="507">
        <f t="shared" si="10"/>
        <v>40497.459628714139</v>
      </c>
      <c r="N20" s="507">
        <f t="shared" si="11"/>
        <v>42218.499079105313</v>
      </c>
      <c r="O20" s="508">
        <f t="shared" si="12"/>
        <v>487522.54642753373</v>
      </c>
    </row>
    <row r="21" spans="1:17" x14ac:dyDescent="0.2">
      <c r="A21" s="505" t="s">
        <v>262</v>
      </c>
      <c r="B21" s="536">
        <f>'CUADRO 9 IEPS GyD '!D22</f>
        <v>2.0163405252797348</v>
      </c>
      <c r="C21" s="507">
        <f t="shared" si="0"/>
        <v>127685.44643222693</v>
      </c>
      <c r="D21" s="507">
        <f t="shared" si="1"/>
        <v>130578.54221810806</v>
      </c>
      <c r="E21" s="507">
        <f t="shared" si="2"/>
        <v>128536.3396110272</v>
      </c>
      <c r="F21" s="507">
        <f t="shared" si="3"/>
        <v>118228.43939732079</v>
      </c>
      <c r="G21" s="507">
        <f t="shared" si="4"/>
        <v>132566.49417534174</v>
      </c>
      <c r="H21" s="507">
        <f t="shared" si="5"/>
        <v>130020.51997933844</v>
      </c>
      <c r="I21" s="507">
        <f t="shared" si="6"/>
        <v>136867.91106242457</v>
      </c>
      <c r="J21" s="507">
        <f t="shared" si="7"/>
        <v>133035.3871059579</v>
      </c>
      <c r="K21" s="507">
        <f t="shared" si="8"/>
        <v>137212.80056334735</v>
      </c>
      <c r="L21" s="507">
        <f t="shared" si="9"/>
        <v>137794.07372873242</v>
      </c>
      <c r="M21" s="507">
        <f t="shared" si="10"/>
        <v>131307.0697398019</v>
      </c>
      <c r="N21" s="507">
        <f t="shared" si="11"/>
        <v>136887.28759073178</v>
      </c>
      <c r="O21" s="508">
        <f t="shared" si="12"/>
        <v>1580720.3116043587</v>
      </c>
    </row>
    <row r="22" spans="1:17" x14ac:dyDescent="0.2">
      <c r="A22" s="505" t="s">
        <v>263</v>
      </c>
      <c r="B22" s="536">
        <f>'CUADRO 9 IEPS GyD '!D23</f>
        <v>7.6069888365105687</v>
      </c>
      <c r="C22" s="507">
        <f t="shared" si="0"/>
        <v>481715.14355694759</v>
      </c>
      <c r="D22" s="507">
        <f t="shared" si="1"/>
        <v>492629.841282968</v>
      </c>
      <c r="E22" s="507">
        <f t="shared" si="2"/>
        <v>484925.28332800569</v>
      </c>
      <c r="F22" s="507">
        <f t="shared" si="3"/>
        <v>446036.97013366001</v>
      </c>
      <c r="G22" s="507">
        <f t="shared" si="4"/>
        <v>500129.72940037696</v>
      </c>
      <c r="H22" s="507">
        <f t="shared" si="5"/>
        <v>490524.60712850577</v>
      </c>
      <c r="I22" s="507">
        <f t="shared" si="6"/>
        <v>516357.55889196438</v>
      </c>
      <c r="J22" s="507">
        <f t="shared" si="7"/>
        <v>501898.70802476944</v>
      </c>
      <c r="K22" s="507">
        <f t="shared" si="8"/>
        <v>517658.71340949577</v>
      </c>
      <c r="L22" s="507">
        <f t="shared" si="9"/>
        <v>519851.66565372737</v>
      </c>
      <c r="M22" s="507">
        <f t="shared" si="10"/>
        <v>495378.33572382969</v>
      </c>
      <c r="N22" s="507">
        <f t="shared" si="11"/>
        <v>516430.66015272634</v>
      </c>
      <c r="O22" s="508">
        <f t="shared" si="12"/>
        <v>5963537.2166869771</v>
      </c>
    </row>
    <row r="23" spans="1:17" x14ac:dyDescent="0.2">
      <c r="A23" s="505" t="s">
        <v>156</v>
      </c>
      <c r="B23" s="536">
        <f>'CUADRO 9 IEPS GyD '!D24</f>
        <v>3.0057727673021133</v>
      </c>
      <c r="C23" s="507">
        <f t="shared" si="0"/>
        <v>190341.578148639</v>
      </c>
      <c r="D23" s="507">
        <f t="shared" si="1"/>
        <v>194654.3360471054</v>
      </c>
      <c r="E23" s="507">
        <f t="shared" si="2"/>
        <v>191610.01049558408</v>
      </c>
      <c r="F23" s="507">
        <f t="shared" si="3"/>
        <v>176243.95235115036</v>
      </c>
      <c r="G23" s="507">
        <f t="shared" si="4"/>
        <v>197617.78977966818</v>
      </c>
      <c r="H23" s="507">
        <f t="shared" si="5"/>
        <v>193822.48843614195</v>
      </c>
      <c r="I23" s="507">
        <f t="shared" si="6"/>
        <v>204029.94168452232</v>
      </c>
      <c r="J23" s="507">
        <f t="shared" si="7"/>
        <v>198316.77171449346</v>
      </c>
      <c r="K23" s="507">
        <f t="shared" si="8"/>
        <v>204544.07084901867</v>
      </c>
      <c r="L23" s="507">
        <f t="shared" si="9"/>
        <v>205410.57877710558</v>
      </c>
      <c r="M23" s="507">
        <f t="shared" si="10"/>
        <v>195740.3570626447</v>
      </c>
      <c r="N23" s="507">
        <f t="shared" si="11"/>
        <v>204058.82640929005</v>
      </c>
      <c r="O23" s="508">
        <f t="shared" si="12"/>
        <v>2356390.7017553635</v>
      </c>
    </row>
    <row r="24" spans="1:17" x14ac:dyDescent="0.2">
      <c r="A24" s="505" t="s">
        <v>157</v>
      </c>
      <c r="B24" s="536">
        <f>'CUADRO 9 IEPS GyD '!D25</f>
        <v>34.475044032324909</v>
      </c>
      <c r="C24" s="507">
        <f t="shared" si="0"/>
        <v>2183143.8355023814</v>
      </c>
      <c r="D24" s="507">
        <f t="shared" si="1"/>
        <v>2232609.4904140928</v>
      </c>
      <c r="E24" s="507">
        <f t="shared" si="2"/>
        <v>2197692.2609484629</v>
      </c>
      <c r="F24" s="507">
        <f t="shared" si="3"/>
        <v>2021449.5532842702</v>
      </c>
      <c r="G24" s="507">
        <f t="shared" si="4"/>
        <v>2266599.1515851729</v>
      </c>
      <c r="H24" s="507">
        <f t="shared" si="5"/>
        <v>2223068.5220055296</v>
      </c>
      <c r="I24" s="507">
        <f t="shared" si="6"/>
        <v>2340144.0388323283</v>
      </c>
      <c r="J24" s="507">
        <f t="shared" si="7"/>
        <v>2274616.2023892263</v>
      </c>
      <c r="K24" s="507">
        <f t="shared" si="8"/>
        <v>2346040.9002907616</v>
      </c>
      <c r="L24" s="507">
        <f t="shared" si="9"/>
        <v>2355979.4090496819</v>
      </c>
      <c r="M24" s="507">
        <f t="shared" si="10"/>
        <v>2245065.7288689888</v>
      </c>
      <c r="N24" s="507">
        <f t="shared" si="11"/>
        <v>2340475.3353857673</v>
      </c>
      <c r="O24" s="508">
        <f t="shared" si="12"/>
        <v>27026884.428556662</v>
      </c>
      <c r="Q24" s="509"/>
    </row>
    <row r="25" spans="1:17" x14ac:dyDescent="0.2">
      <c r="A25" s="505" t="s">
        <v>158</v>
      </c>
      <c r="B25" s="536">
        <f>'CUADRO 9 IEPS GyD '!D26</f>
        <v>2.4334334852880231</v>
      </c>
      <c r="C25" s="507">
        <f t="shared" si="0"/>
        <v>154097.9993391863</v>
      </c>
      <c r="D25" s="507">
        <f t="shared" si="1"/>
        <v>157589.55052969375</v>
      </c>
      <c r="E25" s="507">
        <f t="shared" si="2"/>
        <v>155124.90522523873</v>
      </c>
      <c r="F25" s="507">
        <f t="shared" si="3"/>
        <v>142684.74979089765</v>
      </c>
      <c r="G25" s="507">
        <f t="shared" si="4"/>
        <v>159988.72308969824</v>
      </c>
      <c r="H25" s="507">
        <f t="shared" si="5"/>
        <v>156916.09781457309</v>
      </c>
      <c r="I25" s="507">
        <f t="shared" si="6"/>
        <v>165179.91562686092</v>
      </c>
      <c r="J25" s="507">
        <f t="shared" si="7"/>
        <v>160554.60952806062</v>
      </c>
      <c r="K25" s="507">
        <f t="shared" si="8"/>
        <v>165596.14773138272</v>
      </c>
      <c r="L25" s="507">
        <f t="shared" si="9"/>
        <v>166297.66097630005</v>
      </c>
      <c r="M25" s="507">
        <f t="shared" si="10"/>
        <v>158468.7786382483</v>
      </c>
      <c r="N25" s="507">
        <f t="shared" si="11"/>
        <v>165203.30031422907</v>
      </c>
      <c r="O25" s="508">
        <f t="shared" si="12"/>
        <v>1907702.4386043691</v>
      </c>
      <c r="Q25" s="509"/>
    </row>
    <row r="26" spans="1:17" ht="13.5" thickBot="1" x14ac:dyDescent="0.25">
      <c r="A26" s="505" t="s">
        <v>159</v>
      </c>
      <c r="B26" s="537">
        <f>'CUADRO 9 IEPS GyD '!D27</f>
        <v>5.2797509583506006</v>
      </c>
      <c r="C26" s="507">
        <f t="shared" si="0"/>
        <v>334342.0169936064</v>
      </c>
      <c r="D26" s="507">
        <f t="shared" si="1"/>
        <v>341917.53564067965</v>
      </c>
      <c r="E26" s="507">
        <f t="shared" si="2"/>
        <v>336570.06529194704</v>
      </c>
      <c r="F26" s="507">
        <f t="shared" si="3"/>
        <v>309579.01623571257</v>
      </c>
      <c r="G26" s="507">
        <f t="shared" si="4"/>
        <v>347122.95165041002</v>
      </c>
      <c r="H26" s="507">
        <f t="shared" si="5"/>
        <v>340456.36456714972</v>
      </c>
      <c r="I26" s="507">
        <f t="shared" si="6"/>
        <v>358386.13346276316</v>
      </c>
      <c r="J26" s="507">
        <f t="shared" si="7"/>
        <v>348350.73925312218</v>
      </c>
      <c r="K26" s="507">
        <f t="shared" si="8"/>
        <v>359289.22034228191</v>
      </c>
      <c r="L26" s="507">
        <f t="shared" si="9"/>
        <v>360811.27354387561</v>
      </c>
      <c r="M26" s="507">
        <f t="shared" si="10"/>
        <v>343825.17169353046</v>
      </c>
      <c r="N26" s="507">
        <f t="shared" si="11"/>
        <v>358436.87054938957</v>
      </c>
      <c r="O26" s="508">
        <f t="shared" si="12"/>
        <v>4139087.359224468</v>
      </c>
    </row>
    <row r="27" spans="1:17" ht="13.5" thickBot="1" x14ac:dyDescent="0.25">
      <c r="A27" s="510" t="s">
        <v>264</v>
      </c>
      <c r="B27" s="539">
        <f t="shared" ref="B27:O27" si="13">SUM(B7:B26)</f>
        <v>100</v>
      </c>
      <c r="C27" s="512">
        <f>'X22.55 POE'!B52</f>
        <v>6332533.8568252316</v>
      </c>
      <c r="D27" s="512">
        <f>'X22.55 POE'!C52</f>
        <v>6476016.3564134287</v>
      </c>
      <c r="E27" s="512">
        <f>'X22.55 POE'!D52</f>
        <v>6374733.7317041159</v>
      </c>
      <c r="F27" s="512">
        <f>'X22.55 POE'!E52</f>
        <v>5863515.5081713432</v>
      </c>
      <c r="G27" s="512">
        <f>'X22.55 POE'!F52</f>
        <v>6574608.4311304633</v>
      </c>
      <c r="H27" s="512">
        <f>'X22.55 POE'!G52</f>
        <v>6448341.3564928565</v>
      </c>
      <c r="I27" s="512">
        <f>'X22.55 POE'!H52</f>
        <v>6787936.3305181973</v>
      </c>
      <c r="J27" s="512">
        <f>'X22.55 POE'!I52</f>
        <v>6597863.0810637195</v>
      </c>
      <c r="K27" s="512">
        <f>'X22.55 POE'!J52</f>
        <v>6805041.055469105</v>
      </c>
      <c r="L27" s="512">
        <f>'X22.55 POE'!K52</f>
        <v>6833869.1803863682</v>
      </c>
      <c r="M27" s="512">
        <f>'X22.55 POE'!L52</f>
        <v>6512147.5313097294</v>
      </c>
      <c r="N27" s="512">
        <f>'X22.55 POE'!M52</f>
        <v>6788897.3055154402</v>
      </c>
      <c r="O27" s="512">
        <f t="shared" si="13"/>
        <v>78395503.725000009</v>
      </c>
    </row>
    <row r="28" spans="1:17" x14ac:dyDescent="0.2">
      <c r="A28" s="513"/>
      <c r="B28" s="513"/>
      <c r="C28" s="513"/>
      <c r="D28" s="513"/>
      <c r="E28" s="513"/>
      <c r="F28" s="513"/>
      <c r="G28" s="513"/>
      <c r="H28" s="513"/>
      <c r="I28" s="513"/>
      <c r="J28" s="513"/>
      <c r="K28" s="513"/>
      <c r="L28" s="513"/>
      <c r="M28" s="513"/>
      <c r="N28" s="513"/>
      <c r="O28" s="513"/>
    </row>
    <row r="29" spans="1:17" ht="13.5" thickBot="1" x14ac:dyDescent="0.25">
      <c r="A29" s="514" t="s">
        <v>265</v>
      </c>
    </row>
    <row r="30" spans="1:17" x14ac:dyDescent="0.2">
      <c r="A30" s="550" t="s">
        <v>303</v>
      </c>
      <c r="C30" s="509">
        <f>'X22.55 POE'!B52</f>
        <v>6332533.8568252316</v>
      </c>
      <c r="D30" s="509">
        <f>'X22.55 POE'!C52</f>
        <v>6476016.3564134287</v>
      </c>
      <c r="E30" s="509">
        <f>'X22.55 POE'!D52</f>
        <v>6374733.7317041159</v>
      </c>
      <c r="F30" s="509">
        <f>'X22.55 POE'!E52</f>
        <v>5863515.5081713432</v>
      </c>
      <c r="G30" s="509">
        <f>'X22.55 POE'!F52</f>
        <v>6574608.4311304633</v>
      </c>
      <c r="H30" s="509">
        <f>'X22.55 POE'!G52</f>
        <v>6448341.3564928565</v>
      </c>
      <c r="I30" s="509">
        <f>'X22.55 POE'!H52</f>
        <v>6787936.3305181973</v>
      </c>
      <c r="J30" s="509">
        <f>'X22.55 POE'!I52</f>
        <v>6597863.0810637195</v>
      </c>
      <c r="K30" s="509">
        <f>'X22.55 POE'!J52</f>
        <v>6805041.055469105</v>
      </c>
      <c r="L30" s="509">
        <f>'X22.55 POE'!K52</f>
        <v>6833869.1803863682</v>
      </c>
      <c r="M30" s="509">
        <f>'X22.55 POE'!L52</f>
        <v>6512147.5313097294</v>
      </c>
      <c r="N30" s="509">
        <f>'X22.55 POE'!M52</f>
        <v>6788897.3055154402</v>
      </c>
      <c r="O30" s="509">
        <f>SUM(C30:N30)</f>
        <v>78395503.724999994</v>
      </c>
    </row>
    <row r="31" spans="1:17" x14ac:dyDescent="0.2">
      <c r="A31" s="553" t="s">
        <v>304</v>
      </c>
      <c r="C31" s="509">
        <f>'X22.55 POE'!B50</f>
        <v>2973029.93</v>
      </c>
      <c r="D31" s="509">
        <f>'X22.55 POE'!C50</f>
        <v>2991400.51</v>
      </c>
      <c r="E31" s="509">
        <f>'X22.55 POE'!D50</f>
        <v>3398867.13</v>
      </c>
      <c r="F31" s="509">
        <f>'X22.55 POE'!E50</f>
        <v>3261038.01</v>
      </c>
      <c r="G31" s="509">
        <f>'X22.55 POE'!F50</f>
        <v>3480510.59</v>
      </c>
      <c r="H31" s="509">
        <f>'X22.55 POE'!G50</f>
        <v>3343876.25</v>
      </c>
      <c r="I31" s="509">
        <f>'X22.55 POE'!H50</f>
        <v>3466561.02</v>
      </c>
      <c r="J31" s="509">
        <f>'X22.55 POE'!I50</f>
        <v>3440989.09</v>
      </c>
      <c r="K31" s="509">
        <f>'X22.55 POE'!J50</f>
        <v>3282805.89</v>
      </c>
      <c r="L31" s="509">
        <f>'X22.55 POE'!K50</f>
        <v>3455841.05</v>
      </c>
      <c r="M31" s="509">
        <f>'X22.55 POE'!L50</f>
        <v>3328385.93</v>
      </c>
      <c r="N31" s="509">
        <f>'X22.55 POE'!M50</f>
        <v>2449944.6</v>
      </c>
      <c r="O31" s="509">
        <f>SUM(C31:N31)</f>
        <v>38873250.000000007</v>
      </c>
    </row>
    <row r="32" spans="1:17" ht="13.5" thickBot="1" x14ac:dyDescent="0.25">
      <c r="A32" s="557" t="s">
        <v>290</v>
      </c>
      <c r="C32" s="509">
        <f>C30-C31</f>
        <v>3359503.9268252314</v>
      </c>
      <c r="D32" s="509">
        <f t="shared" ref="D32:N32" si="14">D30-D31</f>
        <v>3484615.8464134289</v>
      </c>
      <c r="E32" s="509">
        <f t="shared" si="14"/>
        <v>2975866.601704116</v>
      </c>
      <c r="F32" s="509">
        <f t="shared" si="14"/>
        <v>2602477.4981713435</v>
      </c>
      <c r="G32" s="509">
        <f t="shared" si="14"/>
        <v>3094097.8411304634</v>
      </c>
      <c r="H32" s="509">
        <f t="shared" si="14"/>
        <v>3104465.1064928565</v>
      </c>
      <c r="I32" s="509">
        <f t="shared" si="14"/>
        <v>3321375.3105181972</v>
      </c>
      <c r="J32" s="509">
        <f t="shared" si="14"/>
        <v>3156873.9910637196</v>
      </c>
      <c r="K32" s="509">
        <f t="shared" si="14"/>
        <v>3522235.1654691049</v>
      </c>
      <c r="L32" s="509">
        <f t="shared" si="14"/>
        <v>3378028.1303863684</v>
      </c>
      <c r="M32" s="509">
        <f t="shared" si="14"/>
        <v>3183761.6013097293</v>
      </c>
      <c r="N32" s="509">
        <f t="shared" si="14"/>
        <v>4338952.7055154406</v>
      </c>
      <c r="O32" s="509">
        <f t="shared" ref="O32" si="15">O30-O31</f>
        <v>39522253.724999987</v>
      </c>
    </row>
    <row r="36" spans="3:3" x14ac:dyDescent="0.2">
      <c r="C36" s="509"/>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8" tint="0.39997558519241921"/>
  </sheetPr>
  <dimension ref="A1:Q31"/>
  <sheetViews>
    <sheetView workbookViewId="0">
      <selection activeCell="C30" sqref="C30"/>
    </sheetView>
  </sheetViews>
  <sheetFormatPr baseColWidth="10" defaultRowHeight="12.75" x14ac:dyDescent="0.2"/>
  <cols>
    <col min="1" max="1" width="16.85546875" style="500" customWidth="1"/>
    <col min="2" max="2" width="9.28515625" style="500" bestFit="1" customWidth="1"/>
    <col min="3" max="14" width="11.7109375" style="500" bestFit="1" customWidth="1"/>
    <col min="15" max="15" width="13"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296</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16">
        <v>3.6499999999999998E-2</v>
      </c>
      <c r="C7" s="532">
        <f>$C$27*B7</f>
        <v>108515.592445</v>
      </c>
      <c r="D7" s="533">
        <f>$D$27*B7</f>
        <v>109186.11861499998</v>
      </c>
      <c r="E7" s="532">
        <f>$E$27*B7</f>
        <v>124058.65024499998</v>
      </c>
      <c r="F7" s="533">
        <f>$F$27*B7</f>
        <v>119027.88736499999</v>
      </c>
      <c r="G7" s="532">
        <f>$G$27*B7</f>
        <v>127038.63653499998</v>
      </c>
      <c r="H7" s="532">
        <f>$H$27*B7</f>
        <v>122051.483125</v>
      </c>
      <c r="I7" s="534">
        <f>$I$27*B7</f>
        <v>126529.47722999999</v>
      </c>
      <c r="J7" s="533">
        <f>$J$27*B7</f>
        <v>125596.10178499999</v>
      </c>
      <c r="K7" s="532">
        <f>$K$27*B7</f>
        <v>119822.414985</v>
      </c>
      <c r="L7" s="533">
        <f>$L$27*B7</f>
        <v>126138.19832499999</v>
      </c>
      <c r="M7" s="532">
        <f>$M$27*B7</f>
        <v>121486.08644499999</v>
      </c>
      <c r="N7" s="532">
        <f>$N$27*B7</f>
        <v>89422.977899999998</v>
      </c>
      <c r="O7" s="535">
        <f>SUM(C7:N7)</f>
        <v>1418873.625</v>
      </c>
    </row>
    <row r="8" spans="1:15" x14ac:dyDescent="0.2">
      <c r="A8" s="505" t="s">
        <v>141</v>
      </c>
      <c r="B8" s="517">
        <v>1.49E-2</v>
      </c>
      <c r="C8" s="532">
        <f t="shared" ref="C8:C26" si="0">$C$27*B8</f>
        <v>44298.145957000001</v>
      </c>
      <c r="D8" s="533">
        <f t="shared" ref="D8:D26" si="1">$D$27*B8</f>
        <v>44571.867598999997</v>
      </c>
      <c r="E8" s="532">
        <f t="shared" ref="E8:E26" si="2">$E$27*B8</f>
        <v>50643.120236999996</v>
      </c>
      <c r="F8" s="533">
        <f t="shared" ref="F8:F26" si="3">$F$27*B8</f>
        <v>48589.466348999995</v>
      </c>
      <c r="G8" s="532">
        <f t="shared" ref="G8:G26" si="4">$G$27*B8</f>
        <v>51859.607790999995</v>
      </c>
      <c r="H8" s="532">
        <f t="shared" ref="H8:H26" si="5">$H$27*B8</f>
        <v>49823.756125</v>
      </c>
      <c r="I8" s="532">
        <f t="shared" ref="I8:I26" si="6">$I$27*B8</f>
        <v>51651.759198</v>
      </c>
      <c r="J8" s="533">
        <f t="shared" ref="J8:J26" si="7">$J$27*B8</f>
        <v>51270.737440999997</v>
      </c>
      <c r="K8" s="532">
        <f t="shared" ref="K8:K26" si="8">$K$27*B8</f>
        <v>48913.807761000004</v>
      </c>
      <c r="L8" s="533">
        <f t="shared" ref="L8:L26" si="9">$L$27*B8</f>
        <v>51492.031644999995</v>
      </c>
      <c r="M8" s="532">
        <f t="shared" ref="M8:M26" si="10">$M$27*B8</f>
        <v>49592.950357000002</v>
      </c>
      <c r="N8" s="532">
        <f t="shared" ref="N8:N26" si="11">$N$27*B8</f>
        <v>36504.17454</v>
      </c>
      <c r="O8" s="535">
        <f t="shared" ref="O8:O26" si="12">SUM(C8:N8)</f>
        <v>579211.42500000005</v>
      </c>
    </row>
    <row r="9" spans="1:15" x14ac:dyDescent="0.2">
      <c r="A9" s="505" t="s">
        <v>142</v>
      </c>
      <c r="B9" s="517">
        <v>1.09E-2</v>
      </c>
      <c r="C9" s="532">
        <f t="shared" si="0"/>
        <v>32406.026237000002</v>
      </c>
      <c r="D9" s="533">
        <f t="shared" si="1"/>
        <v>32606.265558999996</v>
      </c>
      <c r="E9" s="532">
        <f t="shared" si="2"/>
        <v>37047.651717000001</v>
      </c>
      <c r="F9" s="533">
        <f t="shared" si="3"/>
        <v>35545.314308999994</v>
      </c>
      <c r="G9" s="532">
        <f t="shared" si="4"/>
        <v>37937.565430999995</v>
      </c>
      <c r="H9" s="532">
        <f t="shared" si="5"/>
        <v>36448.251125000003</v>
      </c>
      <c r="I9" s="532">
        <f t="shared" si="6"/>
        <v>37785.515118000003</v>
      </c>
      <c r="J9" s="533">
        <f t="shared" si="7"/>
        <v>37506.781081000001</v>
      </c>
      <c r="K9" s="532">
        <f t="shared" si="8"/>
        <v>35782.584200999998</v>
      </c>
      <c r="L9" s="533">
        <f t="shared" si="9"/>
        <v>37668.667444999999</v>
      </c>
      <c r="M9" s="532">
        <f t="shared" si="10"/>
        <v>36279.406637</v>
      </c>
      <c r="N9" s="532">
        <f t="shared" si="11"/>
        <v>26704.396140000001</v>
      </c>
      <c r="O9" s="535">
        <f t="shared" si="12"/>
        <v>423718.42500000005</v>
      </c>
    </row>
    <row r="10" spans="1:15" x14ac:dyDescent="0.2">
      <c r="A10" s="505" t="s">
        <v>259</v>
      </c>
      <c r="B10" s="517">
        <v>8.8200000000000001E-2</v>
      </c>
      <c r="C10" s="532">
        <f t="shared" si="0"/>
        <v>262221.239826</v>
      </c>
      <c r="D10" s="533">
        <f t="shared" si="1"/>
        <v>263841.524982</v>
      </c>
      <c r="E10" s="532">
        <f t="shared" si="2"/>
        <v>299780.08086599997</v>
      </c>
      <c r="F10" s="533">
        <f t="shared" si="3"/>
        <v>287623.55248199997</v>
      </c>
      <c r="G10" s="532">
        <f t="shared" si="4"/>
        <v>306981.03403799998</v>
      </c>
      <c r="H10" s="532">
        <f t="shared" si="5"/>
        <v>294929.88524999999</v>
      </c>
      <c r="I10" s="532">
        <f t="shared" si="6"/>
        <v>305750.68196399999</v>
      </c>
      <c r="J10" s="533">
        <f t="shared" si="7"/>
        <v>303495.237738</v>
      </c>
      <c r="K10" s="532">
        <f t="shared" si="8"/>
        <v>289543.479498</v>
      </c>
      <c r="L10" s="533">
        <f t="shared" si="9"/>
        <v>304805.18060999998</v>
      </c>
      <c r="M10" s="532">
        <f t="shared" si="10"/>
        <v>293563.63902599999</v>
      </c>
      <c r="N10" s="532">
        <f t="shared" si="11"/>
        <v>216085.11372000002</v>
      </c>
      <c r="O10" s="535">
        <f t="shared" si="12"/>
        <v>3428620.6500000004</v>
      </c>
    </row>
    <row r="11" spans="1:15" x14ac:dyDescent="0.2">
      <c r="A11" s="505" t="s">
        <v>144</v>
      </c>
      <c r="B11" s="517">
        <v>6.6299999999999998E-2</v>
      </c>
      <c r="C11" s="532">
        <f t="shared" si="0"/>
        <v>197111.88435900002</v>
      </c>
      <c r="D11" s="533">
        <f t="shared" si="1"/>
        <v>198329.85381299997</v>
      </c>
      <c r="E11" s="532">
        <f t="shared" si="2"/>
        <v>225344.89071899999</v>
      </c>
      <c r="F11" s="533">
        <f t="shared" si="3"/>
        <v>216206.82006299999</v>
      </c>
      <c r="G11" s="532">
        <f t="shared" si="4"/>
        <v>230757.85211699997</v>
      </c>
      <c r="H11" s="532">
        <f t="shared" si="5"/>
        <v>221698.995375</v>
      </c>
      <c r="I11" s="532">
        <f t="shared" si="6"/>
        <v>229832.99562599999</v>
      </c>
      <c r="J11" s="533">
        <f t="shared" si="7"/>
        <v>228137.57666699999</v>
      </c>
      <c r="K11" s="532">
        <f t="shared" si="8"/>
        <v>217650.03050699999</v>
      </c>
      <c r="L11" s="533">
        <f t="shared" si="9"/>
        <v>229122.26161499997</v>
      </c>
      <c r="M11" s="532">
        <f t="shared" si="10"/>
        <v>220671.98715900001</v>
      </c>
      <c r="N11" s="532">
        <f t="shared" si="11"/>
        <v>162431.32698000001</v>
      </c>
      <c r="O11" s="535">
        <f t="shared" si="12"/>
        <v>2577296.4749999992</v>
      </c>
    </row>
    <row r="12" spans="1:15" x14ac:dyDescent="0.2">
      <c r="A12" s="505" t="s">
        <v>260</v>
      </c>
      <c r="B12" s="517">
        <v>3.2199999999999999E-2</v>
      </c>
      <c r="C12" s="532">
        <f t="shared" si="0"/>
        <v>95731.563746</v>
      </c>
      <c r="D12" s="533">
        <f t="shared" si="1"/>
        <v>96323.096421999988</v>
      </c>
      <c r="E12" s="532">
        <f t="shared" si="2"/>
        <v>109443.52158599999</v>
      </c>
      <c r="F12" s="533">
        <f t="shared" si="3"/>
        <v>105005.42392199999</v>
      </c>
      <c r="G12" s="532">
        <f t="shared" si="4"/>
        <v>112072.44099799999</v>
      </c>
      <c r="H12" s="532">
        <f t="shared" si="5"/>
        <v>107672.81525</v>
      </c>
      <c r="I12" s="532">
        <f t="shared" si="6"/>
        <v>111623.264844</v>
      </c>
      <c r="J12" s="533">
        <f t="shared" si="7"/>
        <v>110799.84869799999</v>
      </c>
      <c r="K12" s="532">
        <f t="shared" si="8"/>
        <v>105706.34965800001</v>
      </c>
      <c r="L12" s="533">
        <f t="shared" si="9"/>
        <v>111278.08180999999</v>
      </c>
      <c r="M12" s="532">
        <f t="shared" si="10"/>
        <v>107174.026946</v>
      </c>
      <c r="N12" s="532">
        <f t="shared" si="11"/>
        <v>78888.216119999997</v>
      </c>
      <c r="O12" s="535">
        <f t="shared" si="12"/>
        <v>1251718.6499999999</v>
      </c>
    </row>
    <row r="13" spans="1:15" x14ac:dyDescent="0.2">
      <c r="A13" s="505" t="s">
        <v>146</v>
      </c>
      <c r="B13" s="517">
        <v>1.11E-2</v>
      </c>
      <c r="C13" s="532">
        <f t="shared" si="0"/>
        <v>33000.632223000001</v>
      </c>
      <c r="D13" s="533">
        <f t="shared" si="1"/>
        <v>33204.545660999996</v>
      </c>
      <c r="E13" s="532">
        <f t="shared" si="2"/>
        <v>37727.425143</v>
      </c>
      <c r="F13" s="533">
        <f t="shared" si="3"/>
        <v>36197.521910999996</v>
      </c>
      <c r="G13" s="532">
        <f t="shared" si="4"/>
        <v>38633.667548999998</v>
      </c>
      <c r="H13" s="532">
        <f t="shared" si="5"/>
        <v>37117.026375000001</v>
      </c>
      <c r="I13" s="532">
        <f t="shared" si="6"/>
        <v>38478.827322000005</v>
      </c>
      <c r="J13" s="533">
        <f t="shared" si="7"/>
        <v>38194.978899000002</v>
      </c>
      <c r="K13" s="532">
        <f t="shared" si="8"/>
        <v>36439.145379000001</v>
      </c>
      <c r="L13" s="533">
        <f t="shared" si="9"/>
        <v>38359.835655000003</v>
      </c>
      <c r="M13" s="532">
        <f t="shared" si="10"/>
        <v>36945.083823000001</v>
      </c>
      <c r="N13" s="532">
        <f t="shared" si="11"/>
        <v>27194.385060000001</v>
      </c>
      <c r="O13" s="535">
        <f t="shared" si="12"/>
        <v>431493.07500000001</v>
      </c>
    </row>
    <row r="14" spans="1:15" x14ac:dyDescent="0.2">
      <c r="A14" s="505" t="s">
        <v>147</v>
      </c>
      <c r="B14" s="517">
        <v>2.7099999999999999E-2</v>
      </c>
      <c r="C14" s="532">
        <f t="shared" si="0"/>
        <v>80569.111103000003</v>
      </c>
      <c r="D14" s="533">
        <f t="shared" si="1"/>
        <v>81066.953820999988</v>
      </c>
      <c r="E14" s="532">
        <f t="shared" si="2"/>
        <v>92109.299222999995</v>
      </c>
      <c r="F14" s="533">
        <f t="shared" si="3"/>
        <v>88374.130070999992</v>
      </c>
      <c r="G14" s="532">
        <f t="shared" si="4"/>
        <v>94321.836988999989</v>
      </c>
      <c r="H14" s="532">
        <f t="shared" si="5"/>
        <v>90619.046374999991</v>
      </c>
      <c r="I14" s="532">
        <f t="shared" si="6"/>
        <v>93943.803641999999</v>
      </c>
      <c r="J14" s="533">
        <f t="shared" si="7"/>
        <v>93250.804338999995</v>
      </c>
      <c r="K14" s="532">
        <f t="shared" si="8"/>
        <v>88964.039619000003</v>
      </c>
      <c r="L14" s="533">
        <f t="shared" si="9"/>
        <v>93653.292454999988</v>
      </c>
      <c r="M14" s="532">
        <f t="shared" si="10"/>
        <v>90199.258703</v>
      </c>
      <c r="N14" s="532">
        <f t="shared" si="11"/>
        <v>66393.498659999997</v>
      </c>
      <c r="O14" s="535">
        <f t="shared" si="12"/>
        <v>1053465.075</v>
      </c>
    </row>
    <row r="15" spans="1:15" x14ac:dyDescent="0.2">
      <c r="A15" s="505" t="s">
        <v>148</v>
      </c>
      <c r="B15" s="517">
        <v>1.6899999999999998E-2</v>
      </c>
      <c r="C15" s="532">
        <f t="shared" si="0"/>
        <v>50244.205816999995</v>
      </c>
      <c r="D15" s="533">
        <f t="shared" si="1"/>
        <v>50554.668618999989</v>
      </c>
      <c r="E15" s="532">
        <f t="shared" si="2"/>
        <v>57440.854496999993</v>
      </c>
      <c r="F15" s="533">
        <f t="shared" si="3"/>
        <v>55111.542368999988</v>
      </c>
      <c r="G15" s="532">
        <f t="shared" si="4"/>
        <v>58820.628970999991</v>
      </c>
      <c r="H15" s="532">
        <f t="shared" si="5"/>
        <v>56511.508624999995</v>
      </c>
      <c r="I15" s="532">
        <f t="shared" si="6"/>
        <v>58584.881237999994</v>
      </c>
      <c r="J15" s="533">
        <f t="shared" si="7"/>
        <v>58152.715620999988</v>
      </c>
      <c r="K15" s="532">
        <f t="shared" si="8"/>
        <v>55479.419540999996</v>
      </c>
      <c r="L15" s="533">
        <f t="shared" si="9"/>
        <v>58403.713744999994</v>
      </c>
      <c r="M15" s="532">
        <f t="shared" si="10"/>
        <v>56249.722216999995</v>
      </c>
      <c r="N15" s="532">
        <f t="shared" si="11"/>
        <v>41404.063739999998</v>
      </c>
      <c r="O15" s="535">
        <f t="shared" si="12"/>
        <v>656957.92499999993</v>
      </c>
    </row>
    <row r="16" spans="1:15" x14ac:dyDescent="0.2">
      <c r="A16" s="505" t="s">
        <v>149</v>
      </c>
      <c r="B16" s="517">
        <v>1.2699999999999999E-2</v>
      </c>
      <c r="C16" s="532">
        <f t="shared" si="0"/>
        <v>37757.480110999997</v>
      </c>
      <c r="D16" s="533">
        <f t="shared" si="1"/>
        <v>37990.786476999994</v>
      </c>
      <c r="E16" s="532">
        <f t="shared" si="2"/>
        <v>43165.612550999998</v>
      </c>
      <c r="F16" s="533">
        <f t="shared" si="3"/>
        <v>41415.182726999992</v>
      </c>
      <c r="G16" s="532">
        <f t="shared" si="4"/>
        <v>44202.484492999996</v>
      </c>
      <c r="H16" s="532">
        <f t="shared" si="5"/>
        <v>42467.228374999999</v>
      </c>
      <c r="I16" s="532">
        <f t="shared" si="6"/>
        <v>44025.324953999996</v>
      </c>
      <c r="J16" s="533">
        <f t="shared" si="7"/>
        <v>43700.561442999999</v>
      </c>
      <c r="K16" s="532">
        <f t="shared" si="8"/>
        <v>41691.634803000001</v>
      </c>
      <c r="L16" s="533">
        <f t="shared" si="9"/>
        <v>43889.181334999994</v>
      </c>
      <c r="M16" s="532">
        <f t="shared" si="10"/>
        <v>42270.501311</v>
      </c>
      <c r="N16" s="532">
        <f t="shared" si="11"/>
        <v>31114.296419999999</v>
      </c>
      <c r="O16" s="535">
        <f t="shared" si="12"/>
        <v>493690.27500000002</v>
      </c>
    </row>
    <row r="17" spans="1:17" x14ac:dyDescent="0.2">
      <c r="A17" s="505" t="s">
        <v>150</v>
      </c>
      <c r="B17" s="517">
        <v>3.39E-2</v>
      </c>
      <c r="C17" s="532">
        <f t="shared" si="0"/>
        <v>100785.71462700001</v>
      </c>
      <c r="D17" s="533">
        <f t="shared" si="1"/>
        <v>101408.47728899999</v>
      </c>
      <c r="E17" s="532">
        <f t="shared" si="2"/>
        <v>115221.595707</v>
      </c>
      <c r="F17" s="533">
        <f t="shared" si="3"/>
        <v>110549.188539</v>
      </c>
      <c r="G17" s="532">
        <f t="shared" si="4"/>
        <v>117989.30900099999</v>
      </c>
      <c r="H17" s="532">
        <f t="shared" si="5"/>
        <v>113357.40487499999</v>
      </c>
      <c r="I17" s="532">
        <f t="shared" si="6"/>
        <v>117516.418578</v>
      </c>
      <c r="J17" s="533">
        <f t="shared" si="7"/>
        <v>116649.530151</v>
      </c>
      <c r="K17" s="532">
        <f t="shared" si="8"/>
        <v>111287.11967100001</v>
      </c>
      <c r="L17" s="533">
        <f t="shared" si="9"/>
        <v>117153.01159499999</v>
      </c>
      <c r="M17" s="532">
        <f t="shared" si="10"/>
        <v>112832.283027</v>
      </c>
      <c r="N17" s="532">
        <f t="shared" si="11"/>
        <v>83053.121939999997</v>
      </c>
      <c r="O17" s="535">
        <f t="shared" si="12"/>
        <v>1317803.175</v>
      </c>
    </row>
    <row r="18" spans="1:17" x14ac:dyDescent="0.2">
      <c r="A18" s="505" t="s">
        <v>151</v>
      </c>
      <c r="B18" s="517">
        <v>2.2100000000000002E-2</v>
      </c>
      <c r="C18" s="532">
        <f t="shared" si="0"/>
        <v>65703.961453000011</v>
      </c>
      <c r="D18" s="533">
        <f t="shared" si="1"/>
        <v>66109.951270999998</v>
      </c>
      <c r="E18" s="532">
        <f t="shared" si="2"/>
        <v>75114.963573000001</v>
      </c>
      <c r="F18" s="533">
        <f t="shared" si="3"/>
        <v>72068.940021000002</v>
      </c>
      <c r="G18" s="532">
        <f t="shared" si="4"/>
        <v>76919.284039000006</v>
      </c>
      <c r="H18" s="532">
        <f t="shared" si="5"/>
        <v>73899.665125</v>
      </c>
      <c r="I18" s="532">
        <f t="shared" si="6"/>
        <v>76610.998542000001</v>
      </c>
      <c r="J18" s="533">
        <f t="shared" si="7"/>
        <v>76045.858888999996</v>
      </c>
      <c r="K18" s="532">
        <f t="shared" si="8"/>
        <v>72550.010169000001</v>
      </c>
      <c r="L18" s="533">
        <f t="shared" si="9"/>
        <v>76374.087205000003</v>
      </c>
      <c r="M18" s="532">
        <f t="shared" si="10"/>
        <v>73557.329053000009</v>
      </c>
      <c r="N18" s="532">
        <f t="shared" si="11"/>
        <v>54143.775660000007</v>
      </c>
      <c r="O18" s="535">
        <f t="shared" si="12"/>
        <v>859098.82499999995</v>
      </c>
    </row>
    <row r="19" spans="1:17" x14ac:dyDescent="0.2">
      <c r="A19" s="505" t="s">
        <v>152</v>
      </c>
      <c r="B19" s="517">
        <v>3.95E-2</v>
      </c>
      <c r="C19" s="532">
        <f t="shared" si="0"/>
        <v>117434.68223500001</v>
      </c>
      <c r="D19" s="533">
        <f t="shared" si="1"/>
        <v>118160.32014499999</v>
      </c>
      <c r="E19" s="532">
        <f t="shared" si="2"/>
        <v>134255.25163499999</v>
      </c>
      <c r="F19" s="533">
        <f t="shared" si="3"/>
        <v>128811.001395</v>
      </c>
      <c r="G19" s="532">
        <f t="shared" si="4"/>
        <v>137480.168305</v>
      </c>
      <c r="H19" s="532">
        <f t="shared" si="5"/>
        <v>132083.111875</v>
      </c>
      <c r="I19" s="532">
        <f t="shared" si="6"/>
        <v>136929.16029</v>
      </c>
      <c r="J19" s="533">
        <f t="shared" si="7"/>
        <v>135919.069055</v>
      </c>
      <c r="K19" s="532">
        <f t="shared" si="8"/>
        <v>129670.83265500001</v>
      </c>
      <c r="L19" s="533">
        <f t="shared" si="9"/>
        <v>136505.721475</v>
      </c>
      <c r="M19" s="532">
        <f t="shared" si="10"/>
        <v>131471.24423500002</v>
      </c>
      <c r="N19" s="532">
        <f t="shared" si="11"/>
        <v>96772.811700000006</v>
      </c>
      <c r="O19" s="535">
        <f t="shared" si="12"/>
        <v>1535493.375</v>
      </c>
    </row>
    <row r="20" spans="1:17" x14ac:dyDescent="0.2">
      <c r="A20" s="505" t="s">
        <v>261</v>
      </c>
      <c r="B20" s="517">
        <v>7.4999999999999997E-3</v>
      </c>
      <c r="C20" s="532">
        <f t="shared" si="0"/>
        <v>22297.724474999999</v>
      </c>
      <c r="D20" s="533">
        <f t="shared" si="1"/>
        <v>22435.503824999996</v>
      </c>
      <c r="E20" s="532">
        <f t="shared" si="2"/>
        <v>25491.503474999998</v>
      </c>
      <c r="F20" s="533">
        <f t="shared" si="3"/>
        <v>24457.785074999996</v>
      </c>
      <c r="G20" s="532">
        <f t="shared" si="4"/>
        <v>26103.829424999996</v>
      </c>
      <c r="H20" s="532">
        <f t="shared" si="5"/>
        <v>25079.071874999998</v>
      </c>
      <c r="I20" s="532">
        <f t="shared" si="6"/>
        <v>25999.20765</v>
      </c>
      <c r="J20" s="533">
        <f t="shared" si="7"/>
        <v>25807.418174999999</v>
      </c>
      <c r="K20" s="532">
        <f t="shared" si="8"/>
        <v>24621.044174999999</v>
      </c>
      <c r="L20" s="533">
        <f t="shared" si="9"/>
        <v>25918.807874999999</v>
      </c>
      <c r="M20" s="532">
        <f t="shared" si="10"/>
        <v>24962.894475000001</v>
      </c>
      <c r="N20" s="532">
        <f t="shared" si="11"/>
        <v>18374.584500000001</v>
      </c>
      <c r="O20" s="535">
        <f t="shared" si="12"/>
        <v>291549.37499999994</v>
      </c>
    </row>
    <row r="21" spans="1:17" x14ac:dyDescent="0.2">
      <c r="A21" s="505" t="s">
        <v>262</v>
      </c>
      <c r="B21" s="517">
        <v>2.2800000000000001E-2</v>
      </c>
      <c r="C21" s="532">
        <f t="shared" si="0"/>
        <v>67785.082404000001</v>
      </c>
      <c r="D21" s="533">
        <f t="shared" si="1"/>
        <v>68203.931627999991</v>
      </c>
      <c r="E21" s="532">
        <f t="shared" si="2"/>
        <v>77494.170564</v>
      </c>
      <c r="F21" s="533">
        <f t="shared" si="3"/>
        <v>74351.666627999992</v>
      </c>
      <c r="G21" s="532">
        <f t="shared" si="4"/>
        <v>79355.641451999996</v>
      </c>
      <c r="H21" s="532">
        <f t="shared" si="5"/>
        <v>76240.378500000006</v>
      </c>
      <c r="I21" s="532">
        <f t="shared" si="6"/>
        <v>79037.591256</v>
      </c>
      <c r="J21" s="533">
        <f t="shared" si="7"/>
        <v>78454.551252000005</v>
      </c>
      <c r="K21" s="532">
        <f t="shared" si="8"/>
        <v>74847.974291999999</v>
      </c>
      <c r="L21" s="533">
        <f t="shared" si="9"/>
        <v>78793.175940000001</v>
      </c>
      <c r="M21" s="532">
        <f t="shared" si="10"/>
        <v>75887.199204000004</v>
      </c>
      <c r="N21" s="532">
        <f t="shared" si="11"/>
        <v>55858.736880000004</v>
      </c>
      <c r="O21" s="535">
        <f t="shared" si="12"/>
        <v>886310.09999999986</v>
      </c>
    </row>
    <row r="22" spans="1:17" x14ac:dyDescent="0.2">
      <c r="A22" s="505" t="s">
        <v>263</v>
      </c>
      <c r="B22" s="517">
        <v>8.8800000000000004E-2</v>
      </c>
      <c r="C22" s="532">
        <f t="shared" si="0"/>
        <v>264005.057784</v>
      </c>
      <c r="D22" s="533">
        <f t="shared" si="1"/>
        <v>265636.36528799997</v>
      </c>
      <c r="E22" s="532">
        <f t="shared" si="2"/>
        <v>301819.401144</v>
      </c>
      <c r="F22" s="533">
        <f t="shared" si="3"/>
        <v>289580.17528799997</v>
      </c>
      <c r="G22" s="532">
        <f t="shared" si="4"/>
        <v>309069.34039199998</v>
      </c>
      <c r="H22" s="532">
        <f t="shared" si="5"/>
        <v>296936.21100000001</v>
      </c>
      <c r="I22" s="532">
        <f t="shared" si="6"/>
        <v>307830.61857600004</v>
      </c>
      <c r="J22" s="533">
        <f t="shared" si="7"/>
        <v>305559.83119200001</v>
      </c>
      <c r="K22" s="532">
        <f t="shared" si="8"/>
        <v>291513.16303200001</v>
      </c>
      <c r="L22" s="533">
        <f t="shared" si="9"/>
        <v>306878.68524000002</v>
      </c>
      <c r="M22" s="532">
        <f t="shared" si="10"/>
        <v>295560.67058400001</v>
      </c>
      <c r="N22" s="532">
        <f t="shared" si="11"/>
        <v>217555.08048</v>
      </c>
      <c r="O22" s="535">
        <f t="shared" si="12"/>
        <v>3451944.6</v>
      </c>
    </row>
    <row r="23" spans="1:17" x14ac:dyDescent="0.2">
      <c r="A23" s="505" t="s">
        <v>156</v>
      </c>
      <c r="B23" s="517">
        <v>3.9199999999999999E-2</v>
      </c>
      <c r="C23" s="532">
        <f t="shared" si="0"/>
        <v>116542.773256</v>
      </c>
      <c r="D23" s="533">
        <f t="shared" si="1"/>
        <v>117262.89999199999</v>
      </c>
      <c r="E23" s="532">
        <f t="shared" si="2"/>
        <v>133235.59149599998</v>
      </c>
      <c r="F23" s="533">
        <f t="shared" si="3"/>
        <v>127832.68999199999</v>
      </c>
      <c r="G23" s="532">
        <f t="shared" si="4"/>
        <v>136436.015128</v>
      </c>
      <c r="H23" s="532">
        <f t="shared" si="5"/>
        <v>131079.94899999999</v>
      </c>
      <c r="I23" s="532">
        <f t="shared" si="6"/>
        <v>135889.191984</v>
      </c>
      <c r="J23" s="533">
        <f t="shared" si="7"/>
        <v>134886.77232799999</v>
      </c>
      <c r="K23" s="532">
        <f t="shared" si="8"/>
        <v>128685.990888</v>
      </c>
      <c r="L23" s="533">
        <f t="shared" si="9"/>
        <v>135468.96915999998</v>
      </c>
      <c r="M23" s="532">
        <f t="shared" si="10"/>
        <v>130472.728456</v>
      </c>
      <c r="N23" s="532">
        <f t="shared" si="11"/>
        <v>96037.828320000001</v>
      </c>
      <c r="O23" s="535">
        <f t="shared" si="12"/>
        <v>1523831.4</v>
      </c>
    </row>
    <row r="24" spans="1:17" x14ac:dyDescent="0.2">
      <c r="A24" s="505" t="s">
        <v>157</v>
      </c>
      <c r="B24" s="736">
        <v>0.35420000000000001</v>
      </c>
      <c r="C24" s="532">
        <f t="shared" si="0"/>
        <v>1053047.2012060001</v>
      </c>
      <c r="D24" s="533">
        <f t="shared" si="1"/>
        <v>1059554.0606420001</v>
      </c>
      <c r="E24" s="532">
        <f t="shared" si="2"/>
        <v>1203878.7374460001</v>
      </c>
      <c r="F24" s="533">
        <f t="shared" si="3"/>
        <v>1155059.6631419999</v>
      </c>
      <c r="G24" s="532">
        <f t="shared" si="4"/>
        <v>1232796.8509780001</v>
      </c>
      <c r="H24" s="532">
        <f t="shared" si="5"/>
        <v>1184400.9677500001</v>
      </c>
      <c r="I24" s="532">
        <f t="shared" si="6"/>
        <v>1227855.913284</v>
      </c>
      <c r="J24" s="533">
        <f t="shared" si="7"/>
        <v>1218798.335678</v>
      </c>
      <c r="K24" s="532">
        <f t="shared" si="8"/>
        <v>1162769.8462380001</v>
      </c>
      <c r="L24" s="533">
        <f t="shared" si="9"/>
        <v>1224058.8999099999</v>
      </c>
      <c r="M24" s="532">
        <f t="shared" si="10"/>
        <v>1178914.2964060002</v>
      </c>
      <c r="N24" s="532">
        <f t="shared" si="11"/>
        <v>867770.37732000009</v>
      </c>
      <c r="O24" s="535">
        <f t="shared" si="12"/>
        <v>13768905.15</v>
      </c>
      <c r="Q24" s="509"/>
    </row>
    <row r="25" spans="1:17" x14ac:dyDescent="0.2">
      <c r="A25" s="505" t="s">
        <v>158</v>
      </c>
      <c r="B25" s="736">
        <v>0.03</v>
      </c>
      <c r="C25" s="532">
        <f t="shared" si="0"/>
        <v>89190.897899999996</v>
      </c>
      <c r="D25" s="533">
        <f t="shared" si="1"/>
        <v>89742.015299999985</v>
      </c>
      <c r="E25" s="532">
        <f t="shared" si="2"/>
        <v>101966.01389999999</v>
      </c>
      <c r="F25" s="533">
        <f t="shared" si="3"/>
        <v>97831.140299999985</v>
      </c>
      <c r="G25" s="532">
        <f t="shared" si="4"/>
        <v>104415.31769999999</v>
      </c>
      <c r="H25" s="532">
        <f t="shared" si="5"/>
        <v>100316.28749999999</v>
      </c>
      <c r="I25" s="532">
        <f t="shared" si="6"/>
        <v>103996.8306</v>
      </c>
      <c r="J25" s="533">
        <f t="shared" si="7"/>
        <v>103229.6727</v>
      </c>
      <c r="K25" s="532">
        <f t="shared" si="8"/>
        <v>98484.176699999996</v>
      </c>
      <c r="L25" s="533">
        <f t="shared" si="9"/>
        <v>103675.23149999999</v>
      </c>
      <c r="M25" s="532">
        <f t="shared" si="10"/>
        <v>99851.577900000004</v>
      </c>
      <c r="N25" s="532">
        <f t="shared" si="11"/>
        <v>73498.338000000003</v>
      </c>
      <c r="O25" s="535">
        <f t="shared" si="12"/>
        <v>1166197.4999999998</v>
      </c>
      <c r="Q25" s="509"/>
    </row>
    <row r="26" spans="1:17" ht="13.5" thickBot="1" x14ac:dyDescent="0.25">
      <c r="A26" s="505" t="s">
        <v>159</v>
      </c>
      <c r="B26" s="518">
        <v>4.5199999999999997E-2</v>
      </c>
      <c r="C26" s="532">
        <f t="shared" si="0"/>
        <v>134380.95283600001</v>
      </c>
      <c r="D26" s="533">
        <f t="shared" si="1"/>
        <v>135211.30305199997</v>
      </c>
      <c r="E26" s="532">
        <f t="shared" si="2"/>
        <v>153628.79427599997</v>
      </c>
      <c r="F26" s="533">
        <f t="shared" si="3"/>
        <v>147398.91805199999</v>
      </c>
      <c r="G26" s="532">
        <f t="shared" si="4"/>
        <v>157319.07866799997</v>
      </c>
      <c r="H26" s="532">
        <f t="shared" si="5"/>
        <v>151143.2065</v>
      </c>
      <c r="I26" s="538">
        <f t="shared" si="6"/>
        <v>156688.558104</v>
      </c>
      <c r="J26" s="533">
        <f t="shared" si="7"/>
        <v>155532.70686799998</v>
      </c>
      <c r="K26" s="532">
        <f t="shared" si="8"/>
        <v>148382.82622799999</v>
      </c>
      <c r="L26" s="533">
        <f t="shared" si="9"/>
        <v>156204.01546</v>
      </c>
      <c r="M26" s="532">
        <f t="shared" si="10"/>
        <v>150443.04403600001</v>
      </c>
      <c r="N26" s="532">
        <f t="shared" si="11"/>
        <v>110737.49592</v>
      </c>
      <c r="O26" s="535">
        <f t="shared" si="12"/>
        <v>1757070.9</v>
      </c>
    </row>
    <row r="27" spans="1:17" ht="13.5" thickBot="1" x14ac:dyDescent="0.25">
      <c r="A27" s="510" t="s">
        <v>264</v>
      </c>
      <c r="B27" s="511">
        <f t="shared" ref="B27:O27" si="13">SUM(B7:B26)</f>
        <v>1</v>
      </c>
      <c r="C27" s="540">
        <f>'X22.55 POE'!B50</f>
        <v>2973029.93</v>
      </c>
      <c r="D27" s="540">
        <f>'X22.55 POE'!C50</f>
        <v>2991400.51</v>
      </c>
      <c r="E27" s="540">
        <f>'X22.55 POE'!D50</f>
        <v>3398867.13</v>
      </c>
      <c r="F27" s="540">
        <f>'X22.55 POE'!E50</f>
        <v>3261038.01</v>
      </c>
      <c r="G27" s="540">
        <f>'X22.55 POE'!F50</f>
        <v>3480510.59</v>
      </c>
      <c r="H27" s="540">
        <f>'X22.55 POE'!G50</f>
        <v>3343876.25</v>
      </c>
      <c r="I27" s="540">
        <f>'X22.55 POE'!H50</f>
        <v>3466561.02</v>
      </c>
      <c r="J27" s="540">
        <f>'X22.55 POE'!I50</f>
        <v>3440989.09</v>
      </c>
      <c r="K27" s="540">
        <f>'X22.55 POE'!J50</f>
        <v>3282805.89</v>
      </c>
      <c r="L27" s="540">
        <f>'X22.55 POE'!K50</f>
        <v>3455841.05</v>
      </c>
      <c r="M27" s="540">
        <f>'X22.55 POE'!L50</f>
        <v>3328385.93</v>
      </c>
      <c r="N27" s="540">
        <f>'X22.55 POE'!M50</f>
        <v>2449944.6</v>
      </c>
      <c r="O27" s="540">
        <f t="shared" si="13"/>
        <v>38873250</v>
      </c>
    </row>
    <row r="28" spans="1:17" x14ac:dyDescent="0.2">
      <c r="A28" s="513"/>
      <c r="B28" s="513"/>
      <c r="C28" s="513"/>
      <c r="D28" s="513"/>
      <c r="E28" s="513"/>
      <c r="F28" s="513"/>
      <c r="G28" s="513"/>
      <c r="H28" s="513"/>
      <c r="I28" s="513"/>
      <c r="J28" s="513"/>
      <c r="K28" s="513"/>
      <c r="L28" s="513"/>
      <c r="M28" s="513"/>
      <c r="N28" s="513"/>
      <c r="O28" s="513"/>
    </row>
    <row r="29" spans="1:17" x14ac:dyDescent="0.2">
      <c r="A29" s="514"/>
    </row>
    <row r="30" spans="1:17" x14ac:dyDescent="0.2">
      <c r="A30" s="500" t="s">
        <v>297</v>
      </c>
      <c r="C30" s="509">
        <f>'X22.55 POE'!B52</f>
        <v>6332533.8568252316</v>
      </c>
      <c r="D30" s="509">
        <f>'X22.55 POE'!C52</f>
        <v>6476016.3564134287</v>
      </c>
      <c r="E30" s="509">
        <f>'X22.55 POE'!D52</f>
        <v>6374733.7317041159</v>
      </c>
      <c r="F30" s="509">
        <f>'X22.55 POE'!E52</f>
        <v>5863515.5081713432</v>
      </c>
      <c r="G30" s="509">
        <f>'X22.55 POE'!F52</f>
        <v>6574608.4311304633</v>
      </c>
      <c r="H30" s="509">
        <f>'X22.55 POE'!G52</f>
        <v>6448341.3564928565</v>
      </c>
      <c r="I30" s="509">
        <f>'X22.55 POE'!H52</f>
        <v>6787936.3305181973</v>
      </c>
      <c r="J30" s="509">
        <f>'X22.55 POE'!I52</f>
        <v>6597863.0810637195</v>
      </c>
      <c r="K30" s="509">
        <f>'X22.55 POE'!J52</f>
        <v>6805041.055469105</v>
      </c>
      <c r="L30" s="509">
        <f>'X22.55 POE'!K52</f>
        <v>6833869.1803863682</v>
      </c>
      <c r="M30" s="509">
        <f>'X22.55 POE'!L52</f>
        <v>6512147.5313097294</v>
      </c>
      <c r="N30" s="509">
        <f>'X22.55 POE'!M52</f>
        <v>6788897.3055154402</v>
      </c>
      <c r="O30" s="509">
        <f>SUM(C30:N30)</f>
        <v>78395503.724999994</v>
      </c>
    </row>
    <row r="31" spans="1:17" x14ac:dyDescent="0.2">
      <c r="A31" s="500" t="s">
        <v>290</v>
      </c>
      <c r="C31" s="509">
        <f>C30-C27</f>
        <v>3359503.9268252314</v>
      </c>
      <c r="D31" s="509">
        <f t="shared" ref="D31:O31" si="14">D30-D27</f>
        <v>3484615.8464134289</v>
      </c>
      <c r="E31" s="509">
        <f t="shared" si="14"/>
        <v>2975866.601704116</v>
      </c>
      <c r="F31" s="509">
        <f t="shared" si="14"/>
        <v>2602477.4981713435</v>
      </c>
      <c r="G31" s="509">
        <f t="shared" si="14"/>
        <v>3094097.8411304634</v>
      </c>
      <c r="H31" s="509">
        <f t="shared" si="14"/>
        <v>3104465.1064928565</v>
      </c>
      <c r="I31" s="509">
        <f t="shared" si="14"/>
        <v>3321375.3105181972</v>
      </c>
      <c r="J31" s="509">
        <f t="shared" si="14"/>
        <v>3156873.9910637196</v>
      </c>
      <c r="K31" s="509">
        <f t="shared" si="14"/>
        <v>3522235.1654691049</v>
      </c>
      <c r="L31" s="509">
        <f t="shared" si="14"/>
        <v>3378028.1303863684</v>
      </c>
      <c r="M31" s="509">
        <f t="shared" si="14"/>
        <v>3183761.6013097293</v>
      </c>
      <c r="N31" s="509">
        <f t="shared" si="14"/>
        <v>4338952.7055154406</v>
      </c>
      <c r="O31" s="509">
        <f t="shared" si="14"/>
        <v>39522253.724999994</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7" tint="0.39997558519241921"/>
  </sheetPr>
  <dimension ref="A1:O38"/>
  <sheetViews>
    <sheetView workbookViewId="0">
      <selection activeCell="B7" sqref="B7"/>
    </sheetView>
  </sheetViews>
  <sheetFormatPr baseColWidth="10" defaultRowHeight="12.75" x14ac:dyDescent="0.2"/>
  <cols>
    <col min="1" max="1" width="16.85546875" style="500" customWidth="1"/>
    <col min="2" max="2" width="9.28515625" style="500" bestFit="1" customWidth="1"/>
    <col min="3" max="5" width="11.7109375" style="500" bestFit="1" customWidth="1"/>
    <col min="6" max="6" width="10.140625" style="500" bestFit="1" customWidth="1"/>
    <col min="7" max="8" width="11.7109375" style="500" bestFit="1" customWidth="1"/>
    <col min="9" max="10" width="11.85546875" style="500" bestFit="1" customWidth="1"/>
    <col min="11" max="11" width="10.140625" style="500" bestFit="1" customWidth="1"/>
    <col min="12" max="14" width="11.85546875" style="500" bestFit="1" customWidth="1"/>
    <col min="15" max="15" width="13.140625"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343</v>
      </c>
      <c r="B4" s="1193"/>
      <c r="C4" s="1193"/>
      <c r="D4" s="1193"/>
      <c r="E4" s="1193"/>
      <c r="F4" s="1193"/>
      <c r="G4" s="1193"/>
      <c r="H4" s="1193"/>
      <c r="I4" s="1193"/>
      <c r="J4" s="1193"/>
      <c r="K4" s="1193"/>
      <c r="L4" s="1193"/>
      <c r="M4" s="1193"/>
      <c r="N4" s="1193"/>
      <c r="O4" s="1193"/>
    </row>
    <row r="5" spans="1:15" ht="13.5" thickBot="1" x14ac:dyDescent="0.25">
      <c r="A5" s="735"/>
      <c r="B5" s="735"/>
      <c r="C5" s="735"/>
      <c r="D5" s="735"/>
      <c r="E5" s="735"/>
      <c r="F5" s="735"/>
      <c r="G5" s="735"/>
      <c r="H5" s="735"/>
      <c r="I5" s="735"/>
      <c r="J5" s="735"/>
      <c r="K5" s="735"/>
      <c r="L5" s="735"/>
      <c r="M5" s="735"/>
      <c r="N5" s="735"/>
      <c r="O5" s="735"/>
    </row>
    <row r="6" spans="1:15" ht="34.5" thickBot="1" x14ac:dyDescent="0.25">
      <c r="A6" s="501" t="s">
        <v>286</v>
      </c>
      <c r="B6" s="502" t="s">
        <v>378</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732">
        <v>5</v>
      </c>
      <c r="C7" s="532">
        <f>$C$27*B7/100</f>
        <v>93742.894742919802</v>
      </c>
      <c r="D7" s="533">
        <f>$D$27*B7/100</f>
        <v>281122.70510637201</v>
      </c>
      <c r="E7" s="532">
        <f>$E$27*B7/100</f>
        <v>102545.19610873636</v>
      </c>
      <c r="F7" s="533">
        <f>$F$27*B7/100</f>
        <v>86806.163073116462</v>
      </c>
      <c r="G7" s="532">
        <f>$G$27*B7/100</f>
        <v>100905.98534739712</v>
      </c>
      <c r="H7" s="532">
        <f>$H$27*B7/100</f>
        <v>131650.28292238357</v>
      </c>
      <c r="I7" s="534">
        <f>$I$27*B7/100</f>
        <v>116806.10612981454</v>
      </c>
      <c r="J7" s="533">
        <f>$J$27*B7/100</f>
        <v>134157.56831507469</v>
      </c>
      <c r="K7" s="532">
        <f>$K$27*B7/100</f>
        <v>138583.43095002155</v>
      </c>
      <c r="L7" s="533">
        <f>$L$27*B7/100</f>
        <v>184910.13538055739</v>
      </c>
      <c r="M7" s="532">
        <f>$M$27*B7/100</f>
        <v>131178.94938006887</v>
      </c>
      <c r="N7" s="532">
        <f>$N$27*B7/100</f>
        <v>132540.5162935374</v>
      </c>
      <c r="O7" s="535">
        <f>SUM(C7:N7)</f>
        <v>1634949.9337499996</v>
      </c>
    </row>
    <row r="8" spans="1:15" x14ac:dyDescent="0.2">
      <c r="A8" s="505" t="s">
        <v>141</v>
      </c>
      <c r="B8" s="733">
        <v>5</v>
      </c>
      <c r="C8" s="532">
        <f t="shared" ref="C8:C26" si="0">$C$27*B8/100</f>
        <v>93742.894742919802</v>
      </c>
      <c r="D8" s="533">
        <f t="shared" ref="D8:D26" si="1">$D$27*B8/100</f>
        <v>281122.70510637201</v>
      </c>
      <c r="E8" s="532">
        <f t="shared" ref="E8:E26" si="2">$E$27*B8/100</f>
        <v>102545.19610873636</v>
      </c>
      <c r="F8" s="533">
        <f t="shared" ref="F8:F26" si="3">$F$27*B8/100</f>
        <v>86806.163073116462</v>
      </c>
      <c r="G8" s="532">
        <f t="shared" ref="G8:G26" si="4">$G$27*B8/100</f>
        <v>100905.98534739712</v>
      </c>
      <c r="H8" s="532">
        <f t="shared" ref="H8:H26" si="5">$H$27*B8/100</f>
        <v>131650.28292238357</v>
      </c>
      <c r="I8" s="532">
        <f t="shared" ref="I8:I26" si="6">$I$27*B8/100</f>
        <v>116806.10612981454</v>
      </c>
      <c r="J8" s="533">
        <f t="shared" ref="J8:J26" si="7">$J$27*B8/100</f>
        <v>134157.56831507469</v>
      </c>
      <c r="K8" s="532">
        <f t="shared" ref="K8:K26" si="8">$K$27*B8/100</f>
        <v>138583.43095002155</v>
      </c>
      <c r="L8" s="533">
        <f t="shared" ref="L8:L26" si="9">$L$27*B8/100</f>
        <v>184910.13538055739</v>
      </c>
      <c r="M8" s="532">
        <f t="shared" ref="M8:M26" si="10">$M$27*B8/100</f>
        <v>131178.94938006887</v>
      </c>
      <c r="N8" s="532">
        <f t="shared" ref="N8:N26" si="11">$N$27*B8/100</f>
        <v>132540.5162935374</v>
      </c>
      <c r="O8" s="535">
        <f t="shared" ref="O8:O26" si="12">SUM(C8:N8)</f>
        <v>1634949.9337499996</v>
      </c>
    </row>
    <row r="9" spans="1:15" x14ac:dyDescent="0.2">
      <c r="A9" s="505" t="s">
        <v>142</v>
      </c>
      <c r="B9" s="733">
        <v>5</v>
      </c>
      <c r="C9" s="532">
        <f t="shared" si="0"/>
        <v>93742.894742919802</v>
      </c>
      <c r="D9" s="533">
        <f t="shared" si="1"/>
        <v>281122.70510637201</v>
      </c>
      <c r="E9" s="532">
        <f t="shared" si="2"/>
        <v>102545.19610873636</v>
      </c>
      <c r="F9" s="533">
        <f t="shared" si="3"/>
        <v>86806.163073116462</v>
      </c>
      <c r="G9" s="532">
        <f t="shared" si="4"/>
        <v>100905.98534739712</v>
      </c>
      <c r="H9" s="532">
        <f t="shared" si="5"/>
        <v>131650.28292238357</v>
      </c>
      <c r="I9" s="532">
        <f t="shared" si="6"/>
        <v>116806.10612981454</v>
      </c>
      <c r="J9" s="533">
        <f t="shared" si="7"/>
        <v>134157.56831507469</v>
      </c>
      <c r="K9" s="532">
        <f t="shared" si="8"/>
        <v>138583.43095002155</v>
      </c>
      <c r="L9" s="533">
        <f t="shared" si="9"/>
        <v>184910.13538055739</v>
      </c>
      <c r="M9" s="532">
        <f t="shared" si="10"/>
        <v>131178.94938006887</v>
      </c>
      <c r="N9" s="532">
        <f t="shared" si="11"/>
        <v>132540.5162935374</v>
      </c>
      <c r="O9" s="535">
        <f t="shared" si="12"/>
        <v>1634949.9337499996</v>
      </c>
    </row>
    <row r="10" spans="1:15" x14ac:dyDescent="0.2">
      <c r="A10" s="505" t="s">
        <v>259</v>
      </c>
      <c r="B10" s="733">
        <v>5</v>
      </c>
      <c r="C10" s="532">
        <f t="shared" si="0"/>
        <v>93742.894742919802</v>
      </c>
      <c r="D10" s="533">
        <f t="shared" si="1"/>
        <v>281122.70510637201</v>
      </c>
      <c r="E10" s="532">
        <f t="shared" si="2"/>
        <v>102545.19610873636</v>
      </c>
      <c r="F10" s="533">
        <f t="shared" si="3"/>
        <v>86806.163073116462</v>
      </c>
      <c r="G10" s="532">
        <f t="shared" si="4"/>
        <v>100905.98534739712</v>
      </c>
      <c r="H10" s="532">
        <f t="shared" si="5"/>
        <v>131650.28292238357</v>
      </c>
      <c r="I10" s="532">
        <f t="shared" si="6"/>
        <v>116806.10612981454</v>
      </c>
      <c r="J10" s="533">
        <f t="shared" si="7"/>
        <v>134157.56831507469</v>
      </c>
      <c r="K10" s="532">
        <f t="shared" si="8"/>
        <v>138583.43095002155</v>
      </c>
      <c r="L10" s="533">
        <f t="shared" si="9"/>
        <v>184910.13538055739</v>
      </c>
      <c r="M10" s="532">
        <f t="shared" si="10"/>
        <v>131178.94938006887</v>
      </c>
      <c r="N10" s="532">
        <f t="shared" si="11"/>
        <v>132540.5162935374</v>
      </c>
      <c r="O10" s="535">
        <f t="shared" si="12"/>
        <v>1634949.9337499996</v>
      </c>
    </row>
    <row r="11" spans="1:15" x14ac:dyDescent="0.2">
      <c r="A11" s="505" t="s">
        <v>144</v>
      </c>
      <c r="B11" s="733">
        <v>5</v>
      </c>
      <c r="C11" s="532">
        <f t="shared" si="0"/>
        <v>93742.894742919802</v>
      </c>
      <c r="D11" s="533">
        <f t="shared" si="1"/>
        <v>281122.70510637201</v>
      </c>
      <c r="E11" s="532">
        <f t="shared" si="2"/>
        <v>102545.19610873636</v>
      </c>
      <c r="F11" s="533">
        <f t="shared" si="3"/>
        <v>86806.163073116462</v>
      </c>
      <c r="G11" s="532">
        <f t="shared" si="4"/>
        <v>100905.98534739712</v>
      </c>
      <c r="H11" s="532">
        <f t="shared" si="5"/>
        <v>131650.28292238357</v>
      </c>
      <c r="I11" s="532">
        <f t="shared" si="6"/>
        <v>116806.10612981454</v>
      </c>
      <c r="J11" s="533">
        <f t="shared" si="7"/>
        <v>134157.56831507469</v>
      </c>
      <c r="K11" s="532">
        <f t="shared" si="8"/>
        <v>138583.43095002155</v>
      </c>
      <c r="L11" s="533">
        <f t="shared" si="9"/>
        <v>184910.13538055739</v>
      </c>
      <c r="M11" s="532">
        <f t="shared" si="10"/>
        <v>131178.94938006887</v>
      </c>
      <c r="N11" s="532">
        <f t="shared" si="11"/>
        <v>132540.5162935374</v>
      </c>
      <c r="O11" s="535">
        <f t="shared" si="12"/>
        <v>1634949.9337499996</v>
      </c>
    </row>
    <row r="12" spans="1:15" x14ac:dyDescent="0.2">
      <c r="A12" s="505" t="s">
        <v>260</v>
      </c>
      <c r="B12" s="733">
        <v>5</v>
      </c>
      <c r="C12" s="532">
        <f t="shared" si="0"/>
        <v>93742.894742919802</v>
      </c>
      <c r="D12" s="533">
        <f t="shared" si="1"/>
        <v>281122.70510637201</v>
      </c>
      <c r="E12" s="532">
        <f t="shared" si="2"/>
        <v>102545.19610873636</v>
      </c>
      <c r="F12" s="533">
        <f t="shared" si="3"/>
        <v>86806.163073116462</v>
      </c>
      <c r="G12" s="532">
        <f t="shared" si="4"/>
        <v>100905.98534739712</v>
      </c>
      <c r="H12" s="532">
        <f t="shared" si="5"/>
        <v>131650.28292238357</v>
      </c>
      <c r="I12" s="532">
        <f t="shared" si="6"/>
        <v>116806.10612981454</v>
      </c>
      <c r="J12" s="533">
        <f t="shared" si="7"/>
        <v>134157.56831507469</v>
      </c>
      <c r="K12" s="532">
        <f t="shared" si="8"/>
        <v>138583.43095002155</v>
      </c>
      <c r="L12" s="533">
        <f t="shared" si="9"/>
        <v>184910.13538055739</v>
      </c>
      <c r="M12" s="532">
        <f t="shared" si="10"/>
        <v>131178.94938006887</v>
      </c>
      <c r="N12" s="532">
        <f t="shared" si="11"/>
        <v>132540.5162935374</v>
      </c>
      <c r="O12" s="535">
        <f t="shared" si="12"/>
        <v>1634949.9337499996</v>
      </c>
    </row>
    <row r="13" spans="1:15" x14ac:dyDescent="0.2">
      <c r="A13" s="505" t="s">
        <v>146</v>
      </c>
      <c r="B13" s="733">
        <v>5</v>
      </c>
      <c r="C13" s="532">
        <f t="shared" si="0"/>
        <v>93742.894742919802</v>
      </c>
      <c r="D13" s="533">
        <f t="shared" si="1"/>
        <v>281122.70510637201</v>
      </c>
      <c r="E13" s="532">
        <f t="shared" si="2"/>
        <v>102545.19610873636</v>
      </c>
      <c r="F13" s="533">
        <f t="shared" si="3"/>
        <v>86806.163073116462</v>
      </c>
      <c r="G13" s="532">
        <f t="shared" si="4"/>
        <v>100905.98534739712</v>
      </c>
      <c r="H13" s="532">
        <f t="shared" si="5"/>
        <v>131650.28292238357</v>
      </c>
      <c r="I13" s="532">
        <f t="shared" si="6"/>
        <v>116806.10612981454</v>
      </c>
      <c r="J13" s="533">
        <f t="shared" si="7"/>
        <v>134157.56831507469</v>
      </c>
      <c r="K13" s="532">
        <f t="shared" si="8"/>
        <v>138583.43095002155</v>
      </c>
      <c r="L13" s="533">
        <f t="shared" si="9"/>
        <v>184910.13538055739</v>
      </c>
      <c r="M13" s="532">
        <f t="shared" si="10"/>
        <v>131178.94938006887</v>
      </c>
      <c r="N13" s="532">
        <f t="shared" si="11"/>
        <v>132540.5162935374</v>
      </c>
      <c r="O13" s="535">
        <f t="shared" si="12"/>
        <v>1634949.9337499996</v>
      </c>
    </row>
    <row r="14" spans="1:15" x14ac:dyDescent="0.2">
      <c r="A14" s="505" t="s">
        <v>147</v>
      </c>
      <c r="B14" s="733">
        <v>5</v>
      </c>
      <c r="C14" s="532">
        <f t="shared" si="0"/>
        <v>93742.894742919802</v>
      </c>
      <c r="D14" s="533">
        <f t="shared" si="1"/>
        <v>281122.70510637201</v>
      </c>
      <c r="E14" s="532">
        <f t="shared" si="2"/>
        <v>102545.19610873636</v>
      </c>
      <c r="F14" s="533">
        <f t="shared" si="3"/>
        <v>86806.163073116462</v>
      </c>
      <c r="G14" s="532">
        <f t="shared" si="4"/>
        <v>100905.98534739712</v>
      </c>
      <c r="H14" s="532">
        <f t="shared" si="5"/>
        <v>131650.28292238357</v>
      </c>
      <c r="I14" s="532">
        <f t="shared" si="6"/>
        <v>116806.10612981454</v>
      </c>
      <c r="J14" s="533">
        <f t="shared" si="7"/>
        <v>134157.56831507469</v>
      </c>
      <c r="K14" s="532">
        <f t="shared" si="8"/>
        <v>138583.43095002155</v>
      </c>
      <c r="L14" s="533">
        <f t="shared" si="9"/>
        <v>184910.13538055739</v>
      </c>
      <c r="M14" s="532">
        <f t="shared" si="10"/>
        <v>131178.94938006887</v>
      </c>
      <c r="N14" s="532">
        <f t="shared" si="11"/>
        <v>132540.5162935374</v>
      </c>
      <c r="O14" s="535">
        <f t="shared" si="12"/>
        <v>1634949.9337499996</v>
      </c>
    </row>
    <row r="15" spans="1:15" x14ac:dyDescent="0.2">
      <c r="A15" s="505" t="s">
        <v>148</v>
      </c>
      <c r="B15" s="733">
        <v>5</v>
      </c>
      <c r="C15" s="532">
        <f t="shared" si="0"/>
        <v>93742.894742919802</v>
      </c>
      <c r="D15" s="533">
        <f t="shared" si="1"/>
        <v>281122.70510637201</v>
      </c>
      <c r="E15" s="532">
        <f t="shared" si="2"/>
        <v>102545.19610873636</v>
      </c>
      <c r="F15" s="533">
        <f t="shared" si="3"/>
        <v>86806.163073116462</v>
      </c>
      <c r="G15" s="532">
        <f t="shared" si="4"/>
        <v>100905.98534739712</v>
      </c>
      <c r="H15" s="532">
        <f t="shared" si="5"/>
        <v>131650.28292238357</v>
      </c>
      <c r="I15" s="532">
        <f t="shared" si="6"/>
        <v>116806.10612981454</v>
      </c>
      <c r="J15" s="533">
        <f t="shared" si="7"/>
        <v>134157.56831507469</v>
      </c>
      <c r="K15" s="532">
        <f t="shared" si="8"/>
        <v>138583.43095002155</v>
      </c>
      <c r="L15" s="533">
        <f t="shared" si="9"/>
        <v>184910.13538055739</v>
      </c>
      <c r="M15" s="532">
        <f t="shared" si="10"/>
        <v>131178.94938006887</v>
      </c>
      <c r="N15" s="532">
        <f t="shared" si="11"/>
        <v>132540.5162935374</v>
      </c>
      <c r="O15" s="535">
        <f t="shared" si="12"/>
        <v>1634949.9337499996</v>
      </c>
    </row>
    <row r="16" spans="1:15" x14ac:dyDescent="0.2">
      <c r="A16" s="505" t="s">
        <v>149</v>
      </c>
      <c r="B16" s="733">
        <v>5</v>
      </c>
      <c r="C16" s="532">
        <f t="shared" si="0"/>
        <v>93742.894742919802</v>
      </c>
      <c r="D16" s="533">
        <f t="shared" si="1"/>
        <v>281122.70510637201</v>
      </c>
      <c r="E16" s="532">
        <f t="shared" si="2"/>
        <v>102545.19610873636</v>
      </c>
      <c r="F16" s="533">
        <f t="shared" si="3"/>
        <v>86806.163073116462</v>
      </c>
      <c r="G16" s="532">
        <f t="shared" si="4"/>
        <v>100905.98534739712</v>
      </c>
      <c r="H16" s="532">
        <f t="shared" si="5"/>
        <v>131650.28292238357</v>
      </c>
      <c r="I16" s="532">
        <f t="shared" si="6"/>
        <v>116806.10612981454</v>
      </c>
      <c r="J16" s="533">
        <f t="shared" si="7"/>
        <v>134157.56831507469</v>
      </c>
      <c r="K16" s="532">
        <f t="shared" si="8"/>
        <v>138583.43095002155</v>
      </c>
      <c r="L16" s="533">
        <f t="shared" si="9"/>
        <v>184910.13538055739</v>
      </c>
      <c r="M16" s="532">
        <f t="shared" si="10"/>
        <v>131178.94938006887</v>
      </c>
      <c r="N16" s="532">
        <f t="shared" si="11"/>
        <v>132540.5162935374</v>
      </c>
      <c r="O16" s="535">
        <f t="shared" si="12"/>
        <v>1634949.9337499996</v>
      </c>
    </row>
    <row r="17" spans="1:15" x14ac:dyDescent="0.2">
      <c r="A17" s="505" t="s">
        <v>150</v>
      </c>
      <c r="B17" s="733">
        <v>5</v>
      </c>
      <c r="C17" s="532">
        <f t="shared" si="0"/>
        <v>93742.894742919802</v>
      </c>
      <c r="D17" s="533">
        <f t="shared" si="1"/>
        <v>281122.70510637201</v>
      </c>
      <c r="E17" s="532">
        <f t="shared" si="2"/>
        <v>102545.19610873636</v>
      </c>
      <c r="F17" s="533">
        <f t="shared" si="3"/>
        <v>86806.163073116462</v>
      </c>
      <c r="G17" s="532">
        <f t="shared" si="4"/>
        <v>100905.98534739712</v>
      </c>
      <c r="H17" s="532">
        <f t="shared" si="5"/>
        <v>131650.28292238357</v>
      </c>
      <c r="I17" s="532">
        <f t="shared" si="6"/>
        <v>116806.10612981454</v>
      </c>
      <c r="J17" s="533">
        <f t="shared" si="7"/>
        <v>134157.56831507469</v>
      </c>
      <c r="K17" s="532">
        <f t="shared" si="8"/>
        <v>138583.43095002155</v>
      </c>
      <c r="L17" s="533">
        <f t="shared" si="9"/>
        <v>184910.13538055739</v>
      </c>
      <c r="M17" s="532">
        <f t="shared" si="10"/>
        <v>131178.94938006887</v>
      </c>
      <c r="N17" s="532">
        <f t="shared" si="11"/>
        <v>132540.5162935374</v>
      </c>
      <c r="O17" s="535">
        <f t="shared" si="12"/>
        <v>1634949.9337499996</v>
      </c>
    </row>
    <row r="18" spans="1:15" x14ac:dyDescent="0.2">
      <c r="A18" s="505" t="s">
        <v>151</v>
      </c>
      <c r="B18" s="733">
        <v>5</v>
      </c>
      <c r="C18" s="532">
        <f t="shared" si="0"/>
        <v>93742.894742919802</v>
      </c>
      <c r="D18" s="533">
        <f t="shared" si="1"/>
        <v>281122.70510637201</v>
      </c>
      <c r="E18" s="532">
        <f t="shared" si="2"/>
        <v>102545.19610873636</v>
      </c>
      <c r="F18" s="533">
        <f t="shared" si="3"/>
        <v>86806.163073116462</v>
      </c>
      <c r="G18" s="532">
        <f t="shared" si="4"/>
        <v>100905.98534739712</v>
      </c>
      <c r="H18" s="532">
        <f t="shared" si="5"/>
        <v>131650.28292238357</v>
      </c>
      <c r="I18" s="532">
        <f t="shared" si="6"/>
        <v>116806.10612981454</v>
      </c>
      <c r="J18" s="533">
        <f t="shared" si="7"/>
        <v>134157.56831507469</v>
      </c>
      <c r="K18" s="532">
        <f t="shared" si="8"/>
        <v>138583.43095002155</v>
      </c>
      <c r="L18" s="533">
        <f t="shared" si="9"/>
        <v>184910.13538055739</v>
      </c>
      <c r="M18" s="532">
        <f t="shared" si="10"/>
        <v>131178.94938006887</v>
      </c>
      <c r="N18" s="532">
        <f t="shared" si="11"/>
        <v>132540.5162935374</v>
      </c>
      <c r="O18" s="535">
        <f t="shared" si="12"/>
        <v>1634949.9337499996</v>
      </c>
    </row>
    <row r="19" spans="1:15" x14ac:dyDescent="0.2">
      <c r="A19" s="505" t="s">
        <v>152</v>
      </c>
      <c r="B19" s="733">
        <v>5</v>
      </c>
      <c r="C19" s="532">
        <f t="shared" si="0"/>
        <v>93742.894742919802</v>
      </c>
      <c r="D19" s="533">
        <f t="shared" si="1"/>
        <v>281122.70510637201</v>
      </c>
      <c r="E19" s="532">
        <f t="shared" si="2"/>
        <v>102545.19610873636</v>
      </c>
      <c r="F19" s="533">
        <f t="shared" si="3"/>
        <v>86806.163073116462</v>
      </c>
      <c r="G19" s="532">
        <f t="shared" si="4"/>
        <v>100905.98534739712</v>
      </c>
      <c r="H19" s="532">
        <f t="shared" si="5"/>
        <v>131650.28292238357</v>
      </c>
      <c r="I19" s="532">
        <f t="shared" si="6"/>
        <v>116806.10612981454</v>
      </c>
      <c r="J19" s="533">
        <f t="shared" si="7"/>
        <v>134157.56831507469</v>
      </c>
      <c r="K19" s="532">
        <f t="shared" si="8"/>
        <v>138583.43095002155</v>
      </c>
      <c r="L19" s="533">
        <f t="shared" si="9"/>
        <v>184910.13538055739</v>
      </c>
      <c r="M19" s="532">
        <f t="shared" si="10"/>
        <v>131178.94938006887</v>
      </c>
      <c r="N19" s="532">
        <f t="shared" si="11"/>
        <v>132540.5162935374</v>
      </c>
      <c r="O19" s="535">
        <f t="shared" si="12"/>
        <v>1634949.9337499996</v>
      </c>
    </row>
    <row r="20" spans="1:15" x14ac:dyDescent="0.2">
      <c r="A20" s="505" t="s">
        <v>261</v>
      </c>
      <c r="B20" s="733">
        <v>5</v>
      </c>
      <c r="C20" s="532">
        <f t="shared" si="0"/>
        <v>93742.894742919802</v>
      </c>
      <c r="D20" s="533">
        <f t="shared" si="1"/>
        <v>281122.70510637201</v>
      </c>
      <c r="E20" s="532">
        <f t="shared" si="2"/>
        <v>102545.19610873636</v>
      </c>
      <c r="F20" s="533">
        <f t="shared" si="3"/>
        <v>86806.163073116462</v>
      </c>
      <c r="G20" s="532">
        <f t="shared" si="4"/>
        <v>100905.98534739712</v>
      </c>
      <c r="H20" s="532">
        <f t="shared" si="5"/>
        <v>131650.28292238357</v>
      </c>
      <c r="I20" s="532">
        <f t="shared" si="6"/>
        <v>116806.10612981454</v>
      </c>
      <c r="J20" s="533">
        <f t="shared" si="7"/>
        <v>134157.56831507469</v>
      </c>
      <c r="K20" s="532">
        <f t="shared" si="8"/>
        <v>138583.43095002155</v>
      </c>
      <c r="L20" s="533">
        <f t="shared" si="9"/>
        <v>184910.13538055739</v>
      </c>
      <c r="M20" s="532">
        <f t="shared" si="10"/>
        <v>131178.94938006887</v>
      </c>
      <c r="N20" s="532">
        <f t="shared" si="11"/>
        <v>132540.5162935374</v>
      </c>
      <c r="O20" s="535">
        <f t="shared" si="12"/>
        <v>1634949.9337499996</v>
      </c>
    </row>
    <row r="21" spans="1:15" x14ac:dyDescent="0.2">
      <c r="A21" s="505" t="s">
        <v>262</v>
      </c>
      <c r="B21" s="733">
        <v>5</v>
      </c>
      <c r="C21" s="532">
        <f t="shared" si="0"/>
        <v>93742.894742919802</v>
      </c>
      <c r="D21" s="533">
        <f t="shared" si="1"/>
        <v>281122.70510637201</v>
      </c>
      <c r="E21" s="532">
        <f t="shared" si="2"/>
        <v>102545.19610873636</v>
      </c>
      <c r="F21" s="533">
        <f t="shared" si="3"/>
        <v>86806.163073116462</v>
      </c>
      <c r="G21" s="532">
        <f t="shared" si="4"/>
        <v>100905.98534739712</v>
      </c>
      <c r="H21" s="532">
        <f t="shared" si="5"/>
        <v>131650.28292238357</v>
      </c>
      <c r="I21" s="532">
        <f t="shared" si="6"/>
        <v>116806.10612981454</v>
      </c>
      <c r="J21" s="533">
        <f t="shared" si="7"/>
        <v>134157.56831507469</v>
      </c>
      <c r="K21" s="532">
        <f t="shared" si="8"/>
        <v>138583.43095002155</v>
      </c>
      <c r="L21" s="533">
        <f t="shared" si="9"/>
        <v>184910.13538055739</v>
      </c>
      <c r="M21" s="532">
        <f t="shared" si="10"/>
        <v>131178.94938006887</v>
      </c>
      <c r="N21" s="532">
        <f t="shared" si="11"/>
        <v>132540.5162935374</v>
      </c>
      <c r="O21" s="535">
        <f t="shared" si="12"/>
        <v>1634949.9337499996</v>
      </c>
    </row>
    <row r="22" spans="1:15" x14ac:dyDescent="0.2">
      <c r="A22" s="505" t="s">
        <v>263</v>
      </c>
      <c r="B22" s="733">
        <v>5</v>
      </c>
      <c r="C22" s="532">
        <f t="shared" si="0"/>
        <v>93742.894742919802</v>
      </c>
      <c r="D22" s="533">
        <f t="shared" si="1"/>
        <v>281122.70510637201</v>
      </c>
      <c r="E22" s="532">
        <f t="shared" si="2"/>
        <v>102545.19610873636</v>
      </c>
      <c r="F22" s="533">
        <f t="shared" si="3"/>
        <v>86806.163073116462</v>
      </c>
      <c r="G22" s="532">
        <f t="shared" si="4"/>
        <v>100905.98534739712</v>
      </c>
      <c r="H22" s="532">
        <f t="shared" si="5"/>
        <v>131650.28292238357</v>
      </c>
      <c r="I22" s="532">
        <f t="shared" si="6"/>
        <v>116806.10612981454</v>
      </c>
      <c r="J22" s="533">
        <f t="shared" si="7"/>
        <v>134157.56831507469</v>
      </c>
      <c r="K22" s="532">
        <f t="shared" si="8"/>
        <v>138583.43095002155</v>
      </c>
      <c r="L22" s="533">
        <f t="shared" si="9"/>
        <v>184910.13538055739</v>
      </c>
      <c r="M22" s="532">
        <f t="shared" si="10"/>
        <v>131178.94938006887</v>
      </c>
      <c r="N22" s="532">
        <f t="shared" si="11"/>
        <v>132540.5162935374</v>
      </c>
      <c r="O22" s="535">
        <f t="shared" si="12"/>
        <v>1634949.9337499996</v>
      </c>
    </row>
    <row r="23" spans="1:15" x14ac:dyDescent="0.2">
      <c r="A23" s="505" t="s">
        <v>156</v>
      </c>
      <c r="B23" s="733">
        <v>5</v>
      </c>
      <c r="C23" s="532">
        <f t="shared" si="0"/>
        <v>93742.894742919802</v>
      </c>
      <c r="D23" s="533">
        <f t="shared" si="1"/>
        <v>281122.70510637201</v>
      </c>
      <c r="E23" s="532">
        <f t="shared" si="2"/>
        <v>102545.19610873636</v>
      </c>
      <c r="F23" s="533">
        <f t="shared" si="3"/>
        <v>86806.163073116462</v>
      </c>
      <c r="G23" s="532">
        <f t="shared" si="4"/>
        <v>100905.98534739712</v>
      </c>
      <c r="H23" s="532">
        <f t="shared" si="5"/>
        <v>131650.28292238357</v>
      </c>
      <c r="I23" s="532">
        <f t="shared" si="6"/>
        <v>116806.10612981454</v>
      </c>
      <c r="J23" s="533">
        <f t="shared" si="7"/>
        <v>134157.56831507469</v>
      </c>
      <c r="K23" s="532">
        <f t="shared" si="8"/>
        <v>138583.43095002155</v>
      </c>
      <c r="L23" s="533">
        <f t="shared" si="9"/>
        <v>184910.13538055739</v>
      </c>
      <c r="M23" s="532">
        <f t="shared" si="10"/>
        <v>131178.94938006887</v>
      </c>
      <c r="N23" s="532">
        <f t="shared" si="11"/>
        <v>132540.5162935374</v>
      </c>
      <c r="O23" s="535">
        <f t="shared" si="12"/>
        <v>1634949.9337499996</v>
      </c>
    </row>
    <row r="24" spans="1:15" x14ac:dyDescent="0.2">
      <c r="A24" s="505" t="s">
        <v>157</v>
      </c>
      <c r="B24" s="733">
        <v>5</v>
      </c>
      <c r="C24" s="532">
        <f t="shared" si="0"/>
        <v>93742.894742919802</v>
      </c>
      <c r="D24" s="533">
        <f t="shared" si="1"/>
        <v>281122.70510637201</v>
      </c>
      <c r="E24" s="532">
        <f t="shared" si="2"/>
        <v>102545.19610873636</v>
      </c>
      <c r="F24" s="533">
        <f t="shared" si="3"/>
        <v>86806.163073116462</v>
      </c>
      <c r="G24" s="532">
        <f t="shared" si="4"/>
        <v>100905.98534739712</v>
      </c>
      <c r="H24" s="532">
        <f t="shared" si="5"/>
        <v>131650.28292238357</v>
      </c>
      <c r="I24" s="532">
        <f t="shared" si="6"/>
        <v>116806.10612981454</v>
      </c>
      <c r="J24" s="533">
        <f t="shared" si="7"/>
        <v>134157.56831507469</v>
      </c>
      <c r="K24" s="532">
        <f t="shared" si="8"/>
        <v>138583.43095002155</v>
      </c>
      <c r="L24" s="533">
        <f t="shared" si="9"/>
        <v>184910.13538055739</v>
      </c>
      <c r="M24" s="532">
        <f t="shared" si="10"/>
        <v>131178.94938006887</v>
      </c>
      <c r="N24" s="532">
        <f t="shared" si="11"/>
        <v>132540.5162935374</v>
      </c>
      <c r="O24" s="535">
        <f t="shared" si="12"/>
        <v>1634949.9337499996</v>
      </c>
    </row>
    <row r="25" spans="1:15" x14ac:dyDescent="0.2">
      <c r="A25" s="505" t="s">
        <v>158</v>
      </c>
      <c r="B25" s="733">
        <v>5</v>
      </c>
      <c r="C25" s="532">
        <f t="shared" si="0"/>
        <v>93742.894742919802</v>
      </c>
      <c r="D25" s="533">
        <f t="shared" si="1"/>
        <v>281122.70510637201</v>
      </c>
      <c r="E25" s="532">
        <f t="shared" si="2"/>
        <v>102545.19610873636</v>
      </c>
      <c r="F25" s="533">
        <f t="shared" si="3"/>
        <v>86806.163073116462</v>
      </c>
      <c r="G25" s="532">
        <f t="shared" si="4"/>
        <v>100905.98534739712</v>
      </c>
      <c r="H25" s="532">
        <f t="shared" si="5"/>
        <v>131650.28292238357</v>
      </c>
      <c r="I25" s="532">
        <f t="shared" si="6"/>
        <v>116806.10612981454</v>
      </c>
      <c r="J25" s="533">
        <f t="shared" si="7"/>
        <v>134157.56831507469</v>
      </c>
      <c r="K25" s="532">
        <f t="shared" si="8"/>
        <v>138583.43095002155</v>
      </c>
      <c r="L25" s="533">
        <f t="shared" si="9"/>
        <v>184910.13538055739</v>
      </c>
      <c r="M25" s="532">
        <f t="shared" si="10"/>
        <v>131178.94938006887</v>
      </c>
      <c r="N25" s="532">
        <f t="shared" si="11"/>
        <v>132540.5162935374</v>
      </c>
      <c r="O25" s="535">
        <f t="shared" si="12"/>
        <v>1634949.9337499996</v>
      </c>
    </row>
    <row r="26" spans="1:15" ht="13.5" thickBot="1" x14ac:dyDescent="0.25">
      <c r="A26" s="505" t="s">
        <v>159</v>
      </c>
      <c r="B26" s="734">
        <v>5</v>
      </c>
      <c r="C26" s="532">
        <f t="shared" si="0"/>
        <v>93742.894742919802</v>
      </c>
      <c r="D26" s="533">
        <f t="shared" si="1"/>
        <v>281122.70510637201</v>
      </c>
      <c r="E26" s="532">
        <f t="shared" si="2"/>
        <v>102545.19610873636</v>
      </c>
      <c r="F26" s="533">
        <f t="shared" si="3"/>
        <v>86806.163073116462</v>
      </c>
      <c r="G26" s="532">
        <f t="shared" si="4"/>
        <v>100905.98534739712</v>
      </c>
      <c r="H26" s="532">
        <f t="shared" si="5"/>
        <v>131650.28292238357</v>
      </c>
      <c r="I26" s="538">
        <f t="shared" si="6"/>
        <v>116806.10612981454</v>
      </c>
      <c r="J26" s="533">
        <f t="shared" si="7"/>
        <v>134157.56831507469</v>
      </c>
      <c r="K26" s="532">
        <f t="shared" si="8"/>
        <v>138583.43095002155</v>
      </c>
      <c r="L26" s="533">
        <f t="shared" si="9"/>
        <v>184910.13538055739</v>
      </c>
      <c r="M26" s="532">
        <f t="shared" si="10"/>
        <v>131178.94938006887</v>
      </c>
      <c r="N26" s="532">
        <f t="shared" si="11"/>
        <v>132540.5162935374</v>
      </c>
      <c r="O26" s="535">
        <f t="shared" si="12"/>
        <v>1634949.9337499996</v>
      </c>
    </row>
    <row r="27" spans="1:15" ht="13.5" thickBot="1" x14ac:dyDescent="0.25">
      <c r="A27" s="510" t="s">
        <v>264</v>
      </c>
      <c r="B27" s="511">
        <f>SUM(B7:B26)</f>
        <v>100</v>
      </c>
      <c r="C27" s="540">
        <f>'X22.55 POE'!B40</f>
        <v>1874857.8948583959</v>
      </c>
      <c r="D27" s="540">
        <f>'X22.55 POE'!C40</f>
        <v>5622454.1021274403</v>
      </c>
      <c r="E27" s="540">
        <f>'X22.55 POE'!D40</f>
        <v>2050903.9221747273</v>
      </c>
      <c r="F27" s="540">
        <f>'X22.55 POE'!E40</f>
        <v>1736123.2614623292</v>
      </c>
      <c r="G27" s="540">
        <f>'X22.55 POE'!F40</f>
        <v>2018119.7069479425</v>
      </c>
      <c r="H27" s="540">
        <f>'X22.55 POE'!G40</f>
        <v>2633005.6584476717</v>
      </c>
      <c r="I27" s="540">
        <f>'X22.55 POE'!H40</f>
        <v>2336122.1225962909</v>
      </c>
      <c r="J27" s="540">
        <f>'X22.55 POE'!I40</f>
        <v>2683151.3663014937</v>
      </c>
      <c r="K27" s="540">
        <f>'X22.55 POE'!J40</f>
        <v>2771668.6190004312</v>
      </c>
      <c r="L27" s="540">
        <f>'X22.55 POE'!K40</f>
        <v>3698202.7076111482</v>
      </c>
      <c r="M27" s="540">
        <f>'X22.55 POE'!L40</f>
        <v>2623578.9876013771</v>
      </c>
      <c r="N27" s="540">
        <f>'X22.55 POE'!M40</f>
        <v>2650810.3258707477</v>
      </c>
      <c r="O27" s="540">
        <f t="shared" ref="O27" si="13">SUM(O7:O26)</f>
        <v>32698998.674999993</v>
      </c>
    </row>
    <row r="28" spans="1:15" hidden="1" x14ac:dyDescent="0.2">
      <c r="A28" s="521" t="s">
        <v>289</v>
      </c>
      <c r="B28" s="521"/>
      <c r="C28" s="522">
        <f>'[3]PRESUPUSTO ESTATAL 2017'!B52</f>
        <v>1521250.4468291907</v>
      </c>
      <c r="D28" s="522">
        <f>'[3]PRESUPUSTO ESTATAL 2017'!C52</f>
        <v>1992155.4322061262</v>
      </c>
      <c r="E28" s="522">
        <f>'[3]PRESUPUSTO ESTATAL 2017'!D52</f>
        <v>1561223.5204092669</v>
      </c>
      <c r="F28" s="522">
        <f>'[3]PRESUPUSTO ESTATAL 2017'!E52</f>
        <v>1709133.4840227321</v>
      </c>
      <c r="G28" s="522">
        <f>'[3]PRESUPUSTO ESTATAL 2017'!F52</f>
        <v>1794276.5472658337</v>
      </c>
      <c r="H28" s="522">
        <f>'[3]PRESUPUSTO ESTATAL 2017'!G52</f>
        <v>1664193.9164477964</v>
      </c>
      <c r="I28" s="522">
        <f>'[3]PRESUPUSTO ESTATAL 2017'!H52</f>
        <v>1722567.8942233375</v>
      </c>
      <c r="J28" s="522">
        <f>'[3]PRESUPUSTO ESTATAL 2017'!I52</f>
        <v>1774773.0179705636</v>
      </c>
      <c r="K28" s="522">
        <f>'[3]PRESUPUSTO ESTATAL 2017'!J52</f>
        <v>1814273.0193366187</v>
      </c>
      <c r="L28" s="522">
        <f>'[3]PRESUPUSTO ESTATAL 2017'!K52</f>
        <v>1772942.0603667807</v>
      </c>
      <c r="M28" s="522">
        <f>'[3]PRESUPUSTO ESTATAL 2017'!L52</f>
        <v>1696337.0334839264</v>
      </c>
      <c r="N28" s="522">
        <f>'[3]PRESUPUSTO ESTATAL 2017'!M52</f>
        <v>1676873.6274378267</v>
      </c>
      <c r="O28" s="522">
        <f>SUM(C28:N28)</f>
        <v>20700000</v>
      </c>
    </row>
    <row r="29" spans="1:15" hidden="1" x14ac:dyDescent="0.2">
      <c r="A29" s="523" t="s">
        <v>290</v>
      </c>
      <c r="B29" s="523"/>
      <c r="C29" s="524">
        <f>C28-C27</f>
        <v>-353607.4480292052</v>
      </c>
      <c r="D29" s="524">
        <f t="shared" ref="D29:O29" si="14">D28-D27</f>
        <v>-3630298.6699213143</v>
      </c>
      <c r="E29" s="524">
        <f t="shared" si="14"/>
        <v>-489680.40176546038</v>
      </c>
      <c r="F29" s="524">
        <f t="shared" si="14"/>
        <v>-26989.777439597063</v>
      </c>
      <c r="G29" s="524">
        <f t="shared" si="14"/>
        <v>-223843.15968210879</v>
      </c>
      <c r="H29" s="524">
        <f t="shared" si="14"/>
        <v>-968811.74199987529</v>
      </c>
      <c r="I29" s="524">
        <f t="shared" si="14"/>
        <v>-613554.22837295337</v>
      </c>
      <c r="J29" s="524">
        <f t="shared" si="14"/>
        <v>-908378.34833093011</v>
      </c>
      <c r="K29" s="524">
        <f t="shared" si="14"/>
        <v>-957395.59966381243</v>
      </c>
      <c r="L29" s="524">
        <f t="shared" si="14"/>
        <v>-1925260.6472443675</v>
      </c>
      <c r="M29" s="524">
        <f t="shared" si="14"/>
        <v>-927241.95411745063</v>
      </c>
      <c r="N29" s="524">
        <f t="shared" si="14"/>
        <v>-973936.69843292097</v>
      </c>
      <c r="O29" s="524">
        <f t="shared" si="14"/>
        <v>-11998998.674999993</v>
      </c>
    </row>
    <row r="30" spans="1:15" x14ac:dyDescent="0.2">
      <c r="A30" s="514" t="s">
        <v>265</v>
      </c>
    </row>
    <row r="32" spans="1:15" x14ac:dyDescent="0.2">
      <c r="A32" s="500" t="s">
        <v>290</v>
      </c>
      <c r="C32" s="541">
        <f>'X22.55 POE'!B40</f>
        <v>1874857.8948583959</v>
      </c>
      <c r="D32" s="541">
        <f>'X22.55 POE'!C40</f>
        <v>5622454.1021274403</v>
      </c>
      <c r="E32" s="541">
        <f>'X22.55 POE'!D40</f>
        <v>2050903.9221747273</v>
      </c>
      <c r="F32" s="541">
        <f>'X22.55 POE'!E40</f>
        <v>1736123.2614623292</v>
      </c>
      <c r="G32" s="541">
        <f>'X22.55 POE'!F40</f>
        <v>2018119.7069479425</v>
      </c>
      <c r="H32" s="541">
        <f>'X22.55 POE'!G40</f>
        <v>2633005.6584476717</v>
      </c>
      <c r="I32" s="541">
        <f>'X22.55 POE'!H40</f>
        <v>2336122.1225962909</v>
      </c>
      <c r="J32" s="541">
        <f>'X22.55 POE'!I40</f>
        <v>2683151.3663014937</v>
      </c>
      <c r="K32" s="541">
        <f>'X22.55 POE'!J40</f>
        <v>2771668.6190004312</v>
      </c>
      <c r="L32" s="541">
        <f>'X22.55 POE'!K40</f>
        <v>3698202.7076111482</v>
      </c>
      <c r="M32" s="541">
        <f>'X22.55 POE'!L40</f>
        <v>2623578.9876013771</v>
      </c>
      <c r="N32" s="541">
        <f>'X22.55 POE'!M40</f>
        <v>2650810.3258707477</v>
      </c>
      <c r="O32" s="541">
        <f>SUM(C32:N32)</f>
        <v>32698998.674999993</v>
      </c>
    </row>
    <row r="34" spans="3:15" x14ac:dyDescent="0.2">
      <c r="C34" s="509"/>
      <c r="D34" s="509"/>
      <c r="E34" s="509"/>
      <c r="F34" s="509"/>
      <c r="G34" s="509"/>
      <c r="H34" s="509"/>
      <c r="I34" s="509"/>
      <c r="J34" s="509"/>
      <c r="K34" s="509"/>
      <c r="L34" s="509"/>
      <c r="M34" s="509"/>
      <c r="N34" s="509"/>
      <c r="O34" s="509"/>
    </row>
    <row r="38" spans="3:15" x14ac:dyDescent="0.2">
      <c r="K38" s="509"/>
    </row>
  </sheetData>
  <mergeCells count="4">
    <mergeCell ref="A1:O1"/>
    <mergeCell ref="A2:O2"/>
    <mergeCell ref="A3:O3"/>
    <mergeCell ref="A4:O4"/>
  </mergeCells>
  <pageMargins left="0.75" right="0.75" top="1" bottom="1" header="0" footer="0"/>
  <pageSetup paperSize="5"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7" tint="0.39997558519241921"/>
  </sheetPr>
  <dimension ref="A1:R38"/>
  <sheetViews>
    <sheetView workbookViewId="0">
      <selection activeCell="C27" sqref="C27:N27"/>
    </sheetView>
  </sheetViews>
  <sheetFormatPr baseColWidth="10" defaultRowHeight="12.75" x14ac:dyDescent="0.2"/>
  <cols>
    <col min="1" max="1" width="16.85546875" style="500" customWidth="1"/>
    <col min="2" max="2" width="9.28515625" style="500" bestFit="1" customWidth="1"/>
    <col min="3" max="3" width="12" style="500" bestFit="1" customWidth="1"/>
    <col min="4" max="4" width="14.7109375" style="500" bestFit="1" customWidth="1"/>
    <col min="5" max="8" width="11.7109375" style="500" bestFit="1" customWidth="1"/>
    <col min="9" max="10" width="12" style="500" bestFit="1" customWidth="1"/>
    <col min="11" max="11" width="12.140625" style="500" customWidth="1"/>
    <col min="12" max="14" width="12" style="500" bestFit="1" customWidth="1"/>
    <col min="15" max="15" width="13.140625" style="500" bestFit="1" customWidth="1"/>
    <col min="16" max="17" width="11.42578125" style="500"/>
    <col min="18" max="18" width="12.7109375" style="500" bestFit="1" customWidth="1"/>
    <col min="19"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298</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16">
        <v>3.9399999999999998E-2</v>
      </c>
      <c r="C7" s="532">
        <f>$C$27*B7</f>
        <v>56963.546951054755</v>
      </c>
      <c r="D7" s="532">
        <f>$D$27*B7</f>
        <v>86906.697217008536</v>
      </c>
      <c r="E7" s="532">
        <f>$E$27*B7</f>
        <v>59746.246585840105</v>
      </c>
      <c r="F7" s="532">
        <f>$F$27*B7</f>
        <v>67867.982827057887</v>
      </c>
      <c r="G7" s="532">
        <f>$G$27*B7</f>
        <v>64660.762935787861</v>
      </c>
      <c r="H7" s="532">
        <f>$H$27*B7</f>
        <v>67599.96159390721</v>
      </c>
      <c r="I7" s="532">
        <f>$I$27*B7</f>
        <v>68696.572300394633</v>
      </c>
      <c r="J7" s="532">
        <f>$J$27*B7</f>
        <v>71269.225402021868</v>
      </c>
      <c r="K7" s="532">
        <f>$K$27*B7</f>
        <v>68949.326174828399</v>
      </c>
      <c r="L7" s="532">
        <f>$L$27*B7</f>
        <v>67391.350673871682</v>
      </c>
      <c r="M7" s="532">
        <f>$M$27*B7</f>
        <v>65860.428313614379</v>
      </c>
      <c r="N7" s="532">
        <f>$N$27*B7</f>
        <v>66121.899024612838</v>
      </c>
      <c r="O7" s="535">
        <f>SUM(C7:N7)</f>
        <v>812034</v>
      </c>
    </row>
    <row r="8" spans="1:15" x14ac:dyDescent="0.2">
      <c r="A8" s="505" t="s">
        <v>141</v>
      </c>
      <c r="B8" s="517">
        <v>5.7799999999999997E-2</v>
      </c>
      <c r="C8" s="532">
        <f t="shared" ref="C8:C26" si="0">$C$27*B8</f>
        <v>83565.812532257987</v>
      </c>
      <c r="D8" s="532">
        <f t="shared" ref="D8:D26" si="1">$D$27*B8</f>
        <v>127492.56596809882</v>
      </c>
      <c r="E8" s="532">
        <f t="shared" ref="E8:E26" si="2">$E$27*B8</f>
        <v>87648.047021866951</v>
      </c>
      <c r="F8" s="532">
        <f t="shared" ref="F8:F26" si="3">$F$27*B8</f>
        <v>99562.675314820968</v>
      </c>
      <c r="G8" s="532">
        <f t="shared" ref="G8:G26" si="4">$G$27*B8</f>
        <v>94857.667454023816</v>
      </c>
      <c r="H8" s="532">
        <f t="shared" ref="H8:H26" si="5">$H$27*B8</f>
        <v>99169.486805275053</v>
      </c>
      <c r="I8" s="532">
        <f t="shared" ref="I8:I26" si="6">$I$27*B8</f>
        <v>100778.2202782439</v>
      </c>
      <c r="J8" s="532">
        <f t="shared" ref="J8:J26" si="7">$J$27*B8</f>
        <v>104552.31543748386</v>
      </c>
      <c r="K8" s="532">
        <f t="shared" ref="K8:K26" si="8">$K$27*B8</f>
        <v>101149.01149505284</v>
      </c>
      <c r="L8" s="532">
        <f t="shared" ref="L8:L26" si="9">$L$27*B8</f>
        <v>98863.45352664424</v>
      </c>
      <c r="M8" s="532">
        <f t="shared" ref="M8:M26" si="10">$M$27*B8</f>
        <v>96617.582652967278</v>
      </c>
      <c r="N8" s="532">
        <f t="shared" ref="N8:N26" si="11">$N$27*B8</f>
        <v>97001.161513264524</v>
      </c>
      <c r="O8" s="535">
        <f t="shared" ref="O8:O26" si="12">SUM(C8:N8)</f>
        <v>1191258.0000000002</v>
      </c>
    </row>
    <row r="9" spans="1:15" x14ac:dyDescent="0.2">
      <c r="A9" s="505" t="s">
        <v>142</v>
      </c>
      <c r="B9" s="517">
        <v>6.1199999999999997E-2</v>
      </c>
      <c r="C9" s="532">
        <f t="shared" si="0"/>
        <v>88481.44856356729</v>
      </c>
      <c r="D9" s="532">
        <f t="shared" si="1"/>
        <v>134992.12867210462</v>
      </c>
      <c r="E9" s="532">
        <f t="shared" si="2"/>
        <v>92803.814493741476</v>
      </c>
      <c r="F9" s="532">
        <f t="shared" si="3"/>
        <v>105419.30327451632</v>
      </c>
      <c r="G9" s="532">
        <f t="shared" si="4"/>
        <v>100437.53024543698</v>
      </c>
      <c r="H9" s="532">
        <f t="shared" si="5"/>
        <v>105002.98602911476</v>
      </c>
      <c r="I9" s="532">
        <f t="shared" si="6"/>
        <v>106706.35088284648</v>
      </c>
      <c r="J9" s="532">
        <f t="shared" si="7"/>
        <v>110702.45163968879</v>
      </c>
      <c r="K9" s="532">
        <f t="shared" si="8"/>
        <v>107098.95334770301</v>
      </c>
      <c r="L9" s="532">
        <f t="shared" si="9"/>
        <v>104678.95079291744</v>
      </c>
      <c r="M9" s="532">
        <f t="shared" si="10"/>
        <v>102300.96986784771</v>
      </c>
      <c r="N9" s="532">
        <f t="shared" si="11"/>
        <v>102707.11219051539</v>
      </c>
      <c r="O9" s="535">
        <f t="shared" si="12"/>
        <v>1261332.0000000005</v>
      </c>
    </row>
    <row r="10" spans="1:15" x14ac:dyDescent="0.2">
      <c r="A10" s="505" t="s">
        <v>259</v>
      </c>
      <c r="B10" s="517">
        <v>5.0799999999999998E-2</v>
      </c>
      <c r="C10" s="532">
        <f t="shared" si="0"/>
        <v>73445.385408974151</v>
      </c>
      <c r="D10" s="532">
        <f t="shared" si="1"/>
        <v>112052.28981279273</v>
      </c>
      <c r="E10" s="532">
        <f t="shared" si="2"/>
        <v>77033.231638595869</v>
      </c>
      <c r="F10" s="532">
        <f t="shared" si="3"/>
        <v>87504.911868389361</v>
      </c>
      <c r="G10" s="532">
        <f t="shared" si="4"/>
        <v>83369.714648173191</v>
      </c>
      <c r="H10" s="532">
        <f t="shared" si="5"/>
        <v>87159.341344428598</v>
      </c>
      <c r="I10" s="532">
        <f t="shared" si="6"/>
        <v>88573.245504062113</v>
      </c>
      <c r="J10" s="532">
        <f t="shared" si="7"/>
        <v>91890.270315297239</v>
      </c>
      <c r="K10" s="532">
        <f t="shared" si="8"/>
        <v>88899.131210184845</v>
      </c>
      <c r="L10" s="532">
        <f t="shared" si="9"/>
        <v>86890.370919611203</v>
      </c>
      <c r="M10" s="532">
        <f t="shared" si="10"/>
        <v>84916.491328213466</v>
      </c>
      <c r="N10" s="532">
        <f t="shared" si="11"/>
        <v>85253.616001277478</v>
      </c>
      <c r="O10" s="535">
        <f t="shared" si="12"/>
        <v>1046988.0000000002</v>
      </c>
    </row>
    <row r="11" spans="1:15" x14ac:dyDescent="0.2">
      <c r="A11" s="505" t="s">
        <v>144</v>
      </c>
      <c r="B11" s="517">
        <v>3.0700000000000002E-2</v>
      </c>
      <c r="C11" s="532">
        <f t="shared" si="0"/>
        <v>44385.301812116275</v>
      </c>
      <c r="D11" s="532">
        <f t="shared" si="1"/>
        <v>67716.63970969955</v>
      </c>
      <c r="E11" s="532">
        <f t="shared" si="2"/>
        <v>46553.54746663176</v>
      </c>
      <c r="F11" s="532">
        <f t="shared" si="3"/>
        <v>52881.905400778618</v>
      </c>
      <c r="G11" s="532">
        <f t="shared" si="4"/>
        <v>50382.878734230646</v>
      </c>
      <c r="H11" s="532">
        <f t="shared" si="5"/>
        <v>52673.066521140907</v>
      </c>
      <c r="I11" s="532">
        <f t="shared" si="6"/>
        <v>53527.532223911556</v>
      </c>
      <c r="J11" s="532">
        <f t="shared" si="7"/>
        <v>55532.112178732787</v>
      </c>
      <c r="K11" s="532">
        <f t="shared" si="8"/>
        <v>53724.474963635337</v>
      </c>
      <c r="L11" s="532">
        <f t="shared" si="9"/>
        <v>52510.519433702051</v>
      </c>
      <c r="M11" s="532">
        <f t="shared" si="10"/>
        <v>51317.643381420341</v>
      </c>
      <c r="N11" s="532">
        <f t="shared" si="11"/>
        <v>51521.378174000369</v>
      </c>
      <c r="O11" s="535">
        <f t="shared" si="12"/>
        <v>632727.00000000023</v>
      </c>
    </row>
    <row r="12" spans="1:15" x14ac:dyDescent="0.2">
      <c r="A12" s="505" t="s">
        <v>260</v>
      </c>
      <c r="B12" s="517">
        <v>9.5100000000000004E-2</v>
      </c>
      <c r="C12" s="532">
        <f t="shared" si="0"/>
        <v>137493.23134632761</v>
      </c>
      <c r="D12" s="532">
        <f t="shared" si="1"/>
        <v>209767.18033851555</v>
      </c>
      <c r="E12" s="532">
        <f t="shared" si="2"/>
        <v>144209.84899272575</v>
      </c>
      <c r="F12" s="532">
        <f t="shared" si="3"/>
        <v>163813.32910794939</v>
      </c>
      <c r="G12" s="532">
        <f t="shared" si="4"/>
        <v>156072.0445480565</v>
      </c>
      <c r="H12" s="532">
        <f t="shared" si="5"/>
        <v>163166.40476092836</v>
      </c>
      <c r="I12" s="532">
        <f t="shared" si="6"/>
        <v>165813.30014638399</v>
      </c>
      <c r="J12" s="532">
        <f t="shared" si="7"/>
        <v>172022.92730284977</v>
      </c>
      <c r="K12" s="532">
        <f t="shared" si="8"/>
        <v>166423.37358442086</v>
      </c>
      <c r="L12" s="532">
        <f t="shared" si="9"/>
        <v>162662.87941840602</v>
      </c>
      <c r="M12" s="532">
        <f t="shared" si="10"/>
        <v>158967.68356915552</v>
      </c>
      <c r="N12" s="532">
        <f t="shared" si="11"/>
        <v>159598.79688428127</v>
      </c>
      <c r="O12" s="535">
        <f t="shared" si="12"/>
        <v>1960011.0000000002</v>
      </c>
    </row>
    <row r="13" spans="1:15" x14ac:dyDescent="0.2">
      <c r="A13" s="505" t="s">
        <v>146</v>
      </c>
      <c r="B13" s="517">
        <v>9.3299999999999994E-2</v>
      </c>
      <c r="C13" s="532">
        <f t="shared" si="0"/>
        <v>134890.83580034031</v>
      </c>
      <c r="D13" s="532">
        <f t="shared" si="1"/>
        <v>205796.82361286538</v>
      </c>
      <c r="E13" s="532">
        <f t="shared" si="2"/>
        <v>141480.32503702745</v>
      </c>
      <c r="F13" s="532">
        <f t="shared" si="3"/>
        <v>160712.76136458127</v>
      </c>
      <c r="G13" s="532">
        <f t="shared" si="4"/>
        <v>153117.99954083774</v>
      </c>
      <c r="H13" s="532">
        <f t="shared" si="5"/>
        <v>160078.08164242495</v>
      </c>
      <c r="I13" s="532">
        <f t="shared" si="6"/>
        <v>162674.87806159438</v>
      </c>
      <c r="J13" s="532">
        <f t="shared" si="7"/>
        <v>168766.9728428589</v>
      </c>
      <c r="K13" s="532">
        <f t="shared" si="8"/>
        <v>163273.40436831192</v>
      </c>
      <c r="L13" s="532">
        <f t="shared" si="9"/>
        <v>159584.08674802608</v>
      </c>
      <c r="M13" s="532">
        <f t="shared" si="10"/>
        <v>155958.83151421882</v>
      </c>
      <c r="N13" s="532">
        <f t="shared" si="11"/>
        <v>156577.99946691314</v>
      </c>
      <c r="O13" s="535">
        <f t="shared" si="12"/>
        <v>1922913.0000000002</v>
      </c>
    </row>
    <row r="14" spans="1:15" x14ac:dyDescent="0.2">
      <c r="A14" s="505" t="s">
        <v>147</v>
      </c>
      <c r="B14" s="517">
        <v>4.5199999999999997E-2</v>
      </c>
      <c r="C14" s="532">
        <f t="shared" si="0"/>
        <v>65349.043710347076</v>
      </c>
      <c r="D14" s="532">
        <f t="shared" si="1"/>
        <v>99700.068888547859</v>
      </c>
      <c r="E14" s="532">
        <f t="shared" si="2"/>
        <v>68541.379331978998</v>
      </c>
      <c r="F14" s="532">
        <f t="shared" si="3"/>
        <v>77858.701111244081</v>
      </c>
      <c r="G14" s="532">
        <f t="shared" si="4"/>
        <v>74179.352403492667</v>
      </c>
      <c r="H14" s="532">
        <f t="shared" si="5"/>
        <v>77551.224975751422</v>
      </c>
      <c r="I14" s="532">
        <f t="shared" si="6"/>
        <v>78809.26568471668</v>
      </c>
      <c r="J14" s="532">
        <f t="shared" si="7"/>
        <v>81760.634217547937</v>
      </c>
      <c r="K14" s="532">
        <f t="shared" si="8"/>
        <v>79099.226982290449</v>
      </c>
      <c r="L14" s="532">
        <f t="shared" si="9"/>
        <v>77311.904833984765</v>
      </c>
      <c r="M14" s="532">
        <f t="shared" si="10"/>
        <v>75555.618268410399</v>
      </c>
      <c r="N14" s="532">
        <f t="shared" si="11"/>
        <v>75855.579591687827</v>
      </c>
      <c r="O14" s="535">
        <f t="shared" si="12"/>
        <v>931572.00000000023</v>
      </c>
    </row>
    <row r="15" spans="1:15" x14ac:dyDescent="0.2">
      <c r="A15" s="505" t="s">
        <v>148</v>
      </c>
      <c r="B15" s="517">
        <v>5.0799999999999998E-2</v>
      </c>
      <c r="C15" s="532">
        <f t="shared" si="0"/>
        <v>73445.385408974151</v>
      </c>
      <c r="D15" s="532">
        <f t="shared" si="1"/>
        <v>112052.28981279273</v>
      </c>
      <c r="E15" s="532">
        <f t="shared" si="2"/>
        <v>77033.231638595869</v>
      </c>
      <c r="F15" s="532">
        <f t="shared" si="3"/>
        <v>87504.911868389361</v>
      </c>
      <c r="G15" s="532">
        <f t="shared" si="4"/>
        <v>83369.714648173191</v>
      </c>
      <c r="H15" s="532">
        <f t="shared" si="5"/>
        <v>87159.341344428598</v>
      </c>
      <c r="I15" s="532">
        <f t="shared" si="6"/>
        <v>88573.245504062113</v>
      </c>
      <c r="J15" s="532">
        <f t="shared" si="7"/>
        <v>91890.270315297239</v>
      </c>
      <c r="K15" s="532">
        <f t="shared" si="8"/>
        <v>88899.131210184845</v>
      </c>
      <c r="L15" s="532">
        <f t="shared" si="9"/>
        <v>86890.370919611203</v>
      </c>
      <c r="M15" s="532">
        <f t="shared" si="10"/>
        <v>84916.491328213466</v>
      </c>
      <c r="N15" s="532">
        <f t="shared" si="11"/>
        <v>85253.616001277478</v>
      </c>
      <c r="O15" s="535">
        <f t="shared" si="12"/>
        <v>1046988.0000000002</v>
      </c>
    </row>
    <row r="16" spans="1:15" x14ac:dyDescent="0.2">
      <c r="A16" s="505" t="s">
        <v>149</v>
      </c>
      <c r="B16" s="517">
        <v>8.9200000000000002E-2</v>
      </c>
      <c r="C16" s="532">
        <f t="shared" si="0"/>
        <v>128963.15705670265</v>
      </c>
      <c r="D16" s="532">
        <f t="shared" si="1"/>
        <v>196753.23329332899</v>
      </c>
      <c r="E16" s="532">
        <f t="shared" si="2"/>
        <v>135263.07602682582</v>
      </c>
      <c r="F16" s="532">
        <f t="shared" si="3"/>
        <v>153650.35706024276</v>
      </c>
      <c r="G16" s="532">
        <f t="shared" si="4"/>
        <v>146389.34146883953</v>
      </c>
      <c r="H16" s="532">
        <f t="shared" si="5"/>
        <v>153043.5678725006</v>
      </c>
      <c r="I16" s="532">
        <f t="shared" si="6"/>
        <v>155526.24997957362</v>
      </c>
      <c r="J16" s="532">
        <f t="shared" si="7"/>
        <v>161350.6321284353</v>
      </c>
      <c r="K16" s="532">
        <f t="shared" si="8"/>
        <v>156098.47448717497</v>
      </c>
      <c r="L16" s="532">
        <f t="shared" si="9"/>
        <v>152571.2812210496</v>
      </c>
      <c r="M16" s="532">
        <f t="shared" si="10"/>
        <v>149105.33516686302</v>
      </c>
      <c r="N16" s="532">
        <f t="shared" si="11"/>
        <v>149697.2942384636</v>
      </c>
      <c r="O16" s="535">
        <f t="shared" si="12"/>
        <v>1838412.0000000002</v>
      </c>
    </row>
    <row r="17" spans="1:18" x14ac:dyDescent="0.2">
      <c r="A17" s="505" t="s">
        <v>150</v>
      </c>
      <c r="B17" s="517">
        <v>5.0200000000000002E-2</v>
      </c>
      <c r="C17" s="532">
        <f t="shared" si="0"/>
        <v>72577.9202269784</v>
      </c>
      <c r="D17" s="532">
        <f t="shared" si="1"/>
        <v>110728.83757090935</v>
      </c>
      <c r="E17" s="532">
        <f t="shared" si="2"/>
        <v>76123.390320029779</v>
      </c>
      <c r="F17" s="532">
        <f t="shared" si="3"/>
        <v>86471.389287266662</v>
      </c>
      <c r="G17" s="532">
        <f t="shared" si="4"/>
        <v>82385.032979100273</v>
      </c>
      <c r="H17" s="532">
        <f t="shared" si="5"/>
        <v>86129.900304927476</v>
      </c>
      <c r="I17" s="532">
        <f t="shared" si="6"/>
        <v>87527.104809132245</v>
      </c>
      <c r="J17" s="532">
        <f t="shared" si="7"/>
        <v>90804.952161966954</v>
      </c>
      <c r="K17" s="532">
        <f t="shared" si="8"/>
        <v>87849.141471481882</v>
      </c>
      <c r="L17" s="532">
        <f t="shared" si="9"/>
        <v>85864.106696151241</v>
      </c>
      <c r="M17" s="532">
        <f t="shared" si="10"/>
        <v>83913.540643234563</v>
      </c>
      <c r="N17" s="532">
        <f t="shared" si="11"/>
        <v>84246.68352882145</v>
      </c>
      <c r="O17" s="535">
        <f t="shared" si="12"/>
        <v>1034622.0000000002</v>
      </c>
    </row>
    <row r="18" spans="1:18" x14ac:dyDescent="0.2">
      <c r="A18" s="505" t="s">
        <v>151</v>
      </c>
      <c r="B18" s="517">
        <v>4.2900000000000001E-2</v>
      </c>
      <c r="C18" s="532">
        <f t="shared" si="0"/>
        <v>62023.760512696681</v>
      </c>
      <c r="D18" s="532">
        <f t="shared" si="1"/>
        <v>94626.835294661578</v>
      </c>
      <c r="E18" s="532">
        <f t="shared" si="2"/>
        <v>65053.654277475653</v>
      </c>
      <c r="F18" s="532">
        <f t="shared" si="3"/>
        <v>73896.864550273705</v>
      </c>
      <c r="G18" s="532">
        <f t="shared" si="4"/>
        <v>70404.739338713189</v>
      </c>
      <c r="H18" s="532">
        <f t="shared" si="5"/>
        <v>73605.034324330452</v>
      </c>
      <c r="I18" s="532">
        <f t="shared" si="6"/>
        <v>74799.059687485526</v>
      </c>
      <c r="J18" s="532">
        <f t="shared" si="7"/>
        <v>77600.247963115195</v>
      </c>
      <c r="K18" s="532">
        <f t="shared" si="8"/>
        <v>75074.266317262402</v>
      </c>
      <c r="L18" s="532">
        <f t="shared" si="9"/>
        <v>73377.891977388208</v>
      </c>
      <c r="M18" s="532">
        <f t="shared" si="10"/>
        <v>71710.973975991292</v>
      </c>
      <c r="N18" s="532">
        <f t="shared" si="11"/>
        <v>71995.671780606368</v>
      </c>
      <c r="O18" s="535">
        <f t="shared" si="12"/>
        <v>884169.00000000023</v>
      </c>
    </row>
    <row r="19" spans="1:18" x14ac:dyDescent="0.2">
      <c r="A19" s="505" t="s">
        <v>152</v>
      </c>
      <c r="B19" s="517">
        <v>3.04E-2</v>
      </c>
      <c r="C19" s="532">
        <f t="shared" si="0"/>
        <v>43951.569221118392</v>
      </c>
      <c r="D19" s="532">
        <f t="shared" si="1"/>
        <v>67054.91358875786</v>
      </c>
      <c r="E19" s="532">
        <f t="shared" si="2"/>
        <v>46098.626807348708</v>
      </c>
      <c r="F19" s="532">
        <f t="shared" si="3"/>
        <v>52365.144110217261</v>
      </c>
      <c r="G19" s="532">
        <f t="shared" si="4"/>
        <v>49890.537899694187</v>
      </c>
      <c r="H19" s="532">
        <f t="shared" si="5"/>
        <v>52158.346001390346</v>
      </c>
      <c r="I19" s="532">
        <f t="shared" si="6"/>
        <v>53004.461876446621</v>
      </c>
      <c r="J19" s="532">
        <f t="shared" si="7"/>
        <v>54989.453102067637</v>
      </c>
      <c r="K19" s="532">
        <f t="shared" si="8"/>
        <v>53199.480094283848</v>
      </c>
      <c r="L19" s="532">
        <f t="shared" si="9"/>
        <v>51997.387321972063</v>
      </c>
      <c r="M19" s="532">
        <f t="shared" si="10"/>
        <v>50816.168038930889</v>
      </c>
      <c r="N19" s="532">
        <f t="shared" si="11"/>
        <v>51017.911937772347</v>
      </c>
      <c r="O19" s="535">
        <f t="shared" si="12"/>
        <v>626544.00000000012</v>
      </c>
    </row>
    <row r="20" spans="1:18" x14ac:dyDescent="0.2">
      <c r="A20" s="505" t="s">
        <v>261</v>
      </c>
      <c r="B20" s="517">
        <v>6.7000000000000004E-2</v>
      </c>
      <c r="C20" s="532">
        <f t="shared" si="0"/>
        <v>96866.94532285961</v>
      </c>
      <c r="D20" s="532">
        <f t="shared" si="1"/>
        <v>147785.50034364397</v>
      </c>
      <c r="E20" s="532">
        <f t="shared" si="2"/>
        <v>101598.94723988039</v>
      </c>
      <c r="F20" s="532">
        <f t="shared" si="3"/>
        <v>115410.02155870253</v>
      </c>
      <c r="G20" s="532">
        <f t="shared" si="4"/>
        <v>109956.1197131418</v>
      </c>
      <c r="H20" s="532">
        <f t="shared" si="5"/>
        <v>114954.24941095899</v>
      </c>
      <c r="I20" s="532">
        <f t="shared" si="6"/>
        <v>116819.04426716855</v>
      </c>
      <c r="J20" s="532">
        <f t="shared" si="7"/>
        <v>121193.86045521488</v>
      </c>
      <c r="K20" s="532">
        <f t="shared" si="8"/>
        <v>117248.85415516507</v>
      </c>
      <c r="L20" s="532">
        <f t="shared" si="9"/>
        <v>114599.50495303054</v>
      </c>
      <c r="M20" s="532">
        <f t="shared" si="10"/>
        <v>111996.15982264375</v>
      </c>
      <c r="N20" s="532">
        <f t="shared" si="11"/>
        <v>112440.79275759037</v>
      </c>
      <c r="O20" s="535">
        <f t="shared" si="12"/>
        <v>1380870.0000000002</v>
      </c>
    </row>
    <row r="21" spans="1:18" x14ac:dyDescent="0.2">
      <c r="A21" s="505" t="s">
        <v>262</v>
      </c>
      <c r="B21" s="517">
        <v>5.0799999999999998E-2</v>
      </c>
      <c r="C21" s="532">
        <f t="shared" si="0"/>
        <v>73445.385408974151</v>
      </c>
      <c r="D21" s="532">
        <f t="shared" si="1"/>
        <v>112052.28981279273</v>
      </c>
      <c r="E21" s="532">
        <f t="shared" si="2"/>
        <v>77033.231638595869</v>
      </c>
      <c r="F21" s="532">
        <f t="shared" si="3"/>
        <v>87504.911868389361</v>
      </c>
      <c r="G21" s="532">
        <f t="shared" si="4"/>
        <v>83369.714648173191</v>
      </c>
      <c r="H21" s="532">
        <f t="shared" si="5"/>
        <v>87159.341344428598</v>
      </c>
      <c r="I21" s="532">
        <f t="shared" si="6"/>
        <v>88573.245504062113</v>
      </c>
      <c r="J21" s="532">
        <f t="shared" si="7"/>
        <v>91890.270315297239</v>
      </c>
      <c r="K21" s="532">
        <f t="shared" si="8"/>
        <v>88899.131210184845</v>
      </c>
      <c r="L21" s="532">
        <f t="shared" si="9"/>
        <v>86890.370919611203</v>
      </c>
      <c r="M21" s="532">
        <f t="shared" si="10"/>
        <v>84916.491328213466</v>
      </c>
      <c r="N21" s="532">
        <f t="shared" si="11"/>
        <v>85253.616001277478</v>
      </c>
      <c r="O21" s="535">
        <f t="shared" si="12"/>
        <v>1046988.0000000002</v>
      </c>
    </row>
    <row r="22" spans="1:18" x14ac:dyDescent="0.2">
      <c r="A22" s="505" t="s">
        <v>263</v>
      </c>
      <c r="B22" s="517">
        <v>1.7000000000000001E-2</v>
      </c>
      <c r="C22" s="532">
        <f t="shared" si="0"/>
        <v>24578.18015654647</v>
      </c>
      <c r="D22" s="532">
        <f t="shared" si="1"/>
        <v>37497.813520029071</v>
      </c>
      <c r="E22" s="532">
        <f t="shared" si="2"/>
        <v>25778.837359372636</v>
      </c>
      <c r="F22" s="532">
        <f t="shared" si="3"/>
        <v>29283.139798476761</v>
      </c>
      <c r="G22" s="532">
        <f t="shared" si="4"/>
        <v>27899.313957065831</v>
      </c>
      <c r="H22" s="532">
        <f t="shared" si="5"/>
        <v>29167.496119198549</v>
      </c>
      <c r="I22" s="532">
        <f t="shared" si="6"/>
        <v>29640.653023012914</v>
      </c>
      <c r="J22" s="532">
        <f t="shared" si="7"/>
        <v>30750.68101102467</v>
      </c>
      <c r="K22" s="532">
        <f t="shared" si="8"/>
        <v>29749.709263250839</v>
      </c>
      <c r="L22" s="532">
        <f t="shared" si="9"/>
        <v>29077.486331365959</v>
      </c>
      <c r="M22" s="532">
        <f t="shared" si="10"/>
        <v>28416.936074402147</v>
      </c>
      <c r="N22" s="532">
        <f t="shared" si="11"/>
        <v>28529.753386254277</v>
      </c>
      <c r="O22" s="535">
        <f t="shared" si="12"/>
        <v>350370.00000000012</v>
      </c>
    </row>
    <row r="23" spans="1:18" x14ac:dyDescent="0.2">
      <c r="A23" s="505" t="s">
        <v>156</v>
      </c>
      <c r="B23" s="517">
        <v>4.0800000000000003E-2</v>
      </c>
      <c r="C23" s="532">
        <f t="shared" si="0"/>
        <v>58987.632375711531</v>
      </c>
      <c r="D23" s="532">
        <f t="shared" si="1"/>
        <v>89994.752448069761</v>
      </c>
      <c r="E23" s="532">
        <f t="shared" si="2"/>
        <v>61869.20966249433</v>
      </c>
      <c r="F23" s="532">
        <f t="shared" si="3"/>
        <v>70279.535516344229</v>
      </c>
      <c r="G23" s="532">
        <f t="shared" si="4"/>
        <v>66958.353496957992</v>
      </c>
      <c r="H23" s="532">
        <f t="shared" si="5"/>
        <v>70001.990686076519</v>
      </c>
      <c r="I23" s="532">
        <f t="shared" si="6"/>
        <v>71137.567255230999</v>
      </c>
      <c r="J23" s="532">
        <f t="shared" si="7"/>
        <v>73801.634426459204</v>
      </c>
      <c r="K23" s="532">
        <f t="shared" si="8"/>
        <v>71399.302231802008</v>
      </c>
      <c r="L23" s="532">
        <f t="shared" si="9"/>
        <v>69785.967195278296</v>
      </c>
      <c r="M23" s="532">
        <f t="shared" si="10"/>
        <v>68200.646578565153</v>
      </c>
      <c r="N23" s="532">
        <f t="shared" si="11"/>
        <v>68471.408127010262</v>
      </c>
      <c r="O23" s="535">
        <f t="shared" si="12"/>
        <v>840888.00000000023</v>
      </c>
    </row>
    <row r="24" spans="1:18" x14ac:dyDescent="0.2">
      <c r="A24" s="505" t="s">
        <v>157</v>
      </c>
      <c r="B24" s="517">
        <v>3.7000000000000002E-3</v>
      </c>
      <c r="C24" s="532">
        <f t="shared" si="0"/>
        <v>5349.3686223071727</v>
      </c>
      <c r="D24" s="532">
        <f t="shared" si="1"/>
        <v>8161.2888249475027</v>
      </c>
      <c r="E24" s="532">
        <f t="shared" si="2"/>
        <v>5610.6881311575735</v>
      </c>
      <c r="F24" s="532">
        <f t="shared" si="3"/>
        <v>6373.3892502567069</v>
      </c>
      <c r="G24" s="532">
        <f t="shared" si="4"/>
        <v>6072.2036259496217</v>
      </c>
      <c r="H24" s="532">
        <f t="shared" si="5"/>
        <v>6348.2197435902726</v>
      </c>
      <c r="I24" s="532">
        <f t="shared" si="6"/>
        <v>6451.2009520675165</v>
      </c>
      <c r="J24" s="532">
        <f t="shared" si="7"/>
        <v>6692.795278870075</v>
      </c>
      <c r="K24" s="532">
        <f t="shared" si="8"/>
        <v>6474.9367220016529</v>
      </c>
      <c r="L24" s="532">
        <f t="shared" si="9"/>
        <v>6328.6293780031792</v>
      </c>
      <c r="M24" s="532">
        <f t="shared" si="10"/>
        <v>6184.8625573698782</v>
      </c>
      <c r="N24" s="532">
        <f t="shared" si="11"/>
        <v>6209.4169134788717</v>
      </c>
      <c r="O24" s="535">
        <f t="shared" si="12"/>
        <v>76257.000000000015</v>
      </c>
    </row>
    <row r="25" spans="1:18" x14ac:dyDescent="0.2">
      <c r="A25" s="505" t="s">
        <v>158</v>
      </c>
      <c r="B25" s="517">
        <v>3.7699999999999997E-2</v>
      </c>
      <c r="C25" s="532">
        <f t="shared" si="0"/>
        <v>54505.728935400104</v>
      </c>
      <c r="D25" s="532">
        <f t="shared" si="1"/>
        <v>83156.91586500562</v>
      </c>
      <c r="E25" s="532">
        <f t="shared" si="2"/>
        <v>57168.362849902842</v>
      </c>
      <c r="F25" s="532">
        <f t="shared" si="3"/>
        <v>64939.668847210218</v>
      </c>
      <c r="G25" s="532">
        <f t="shared" si="4"/>
        <v>61870.831540081279</v>
      </c>
      <c r="H25" s="532">
        <f t="shared" si="5"/>
        <v>64683.211981987362</v>
      </c>
      <c r="I25" s="532">
        <f t="shared" si="6"/>
        <v>65732.506998093333</v>
      </c>
      <c r="J25" s="532">
        <f t="shared" si="7"/>
        <v>68194.157300919396</v>
      </c>
      <c r="K25" s="532">
        <f t="shared" si="8"/>
        <v>65974.355248503314</v>
      </c>
      <c r="L25" s="532">
        <f t="shared" si="9"/>
        <v>64483.602040735088</v>
      </c>
      <c r="M25" s="532">
        <f t="shared" si="10"/>
        <v>63018.73470617416</v>
      </c>
      <c r="N25" s="532">
        <f t="shared" si="11"/>
        <v>63268.923685987415</v>
      </c>
      <c r="O25" s="535">
        <f t="shared" si="12"/>
        <v>776997</v>
      </c>
    </row>
    <row r="26" spans="1:18" ht="13.5" thickBot="1" x14ac:dyDescent="0.25">
      <c r="A26" s="505" t="s">
        <v>159</v>
      </c>
      <c r="B26" s="518">
        <v>4.5999999999999999E-2</v>
      </c>
      <c r="C26" s="532">
        <f t="shared" si="0"/>
        <v>66505.663953008087</v>
      </c>
      <c r="D26" s="532">
        <f t="shared" si="1"/>
        <v>101464.6718777257</v>
      </c>
      <c r="E26" s="532">
        <f t="shared" si="2"/>
        <v>69754.501090067133</v>
      </c>
      <c r="F26" s="532">
        <f t="shared" si="3"/>
        <v>79236.731219407695</v>
      </c>
      <c r="G26" s="532">
        <f t="shared" si="4"/>
        <v>75492.261295589895</v>
      </c>
      <c r="H26" s="532">
        <f t="shared" si="5"/>
        <v>78923.813028419594</v>
      </c>
      <c r="I26" s="532">
        <f t="shared" si="6"/>
        <v>80204.119944623177</v>
      </c>
      <c r="J26" s="532">
        <f t="shared" si="7"/>
        <v>83207.725088654974</v>
      </c>
      <c r="K26" s="532">
        <f t="shared" si="8"/>
        <v>80499.213300561081</v>
      </c>
      <c r="L26" s="532">
        <f t="shared" si="9"/>
        <v>78680.257131931416</v>
      </c>
      <c r="M26" s="532">
        <f t="shared" si="10"/>
        <v>76892.88584838227</v>
      </c>
      <c r="N26" s="532">
        <f t="shared" si="11"/>
        <v>77198.156221629208</v>
      </c>
      <c r="O26" s="535">
        <f t="shared" si="12"/>
        <v>948060.00000000023</v>
      </c>
    </row>
    <row r="27" spans="1:18" ht="13.5" thickBot="1" x14ac:dyDescent="0.25">
      <c r="A27" s="510" t="s">
        <v>264</v>
      </c>
      <c r="B27" s="511">
        <f>SUM(B7:B26)</f>
        <v>1</v>
      </c>
      <c r="C27" s="540">
        <f>'X22.55 POE'!B39</f>
        <v>1445775.3033262629</v>
      </c>
      <c r="D27" s="540">
        <f>'X22.55 POE'!C39</f>
        <v>2205753.7364722979</v>
      </c>
      <c r="E27" s="540">
        <f>'X22.55 POE'!D39</f>
        <v>1516402.197610155</v>
      </c>
      <c r="F27" s="540">
        <f>'X22.55 POE'!E39</f>
        <v>1722537.6352045152</v>
      </c>
      <c r="G27" s="540">
        <f>'X22.55 POE'!F39</f>
        <v>1641136.1151215194</v>
      </c>
      <c r="H27" s="540">
        <f>'X22.55 POE'!G39</f>
        <v>1715735.0658352086</v>
      </c>
      <c r="I27" s="540">
        <f>'X22.55 POE'!H39</f>
        <v>1743567.8248831125</v>
      </c>
      <c r="J27" s="540">
        <f>'X22.55 POE'!I39</f>
        <v>1808863.5888838039</v>
      </c>
      <c r="K27" s="540">
        <f>'X22.55 POE'!J39</f>
        <v>1749982.8978382845</v>
      </c>
      <c r="L27" s="540">
        <f>'X22.55 POE'!K39</f>
        <v>1710440.3724332915</v>
      </c>
      <c r="M27" s="540">
        <f>'X22.55 POE'!L39</f>
        <v>1671584.474964832</v>
      </c>
      <c r="N27" s="540">
        <f>'X22.55 POE'!M39</f>
        <v>1678220.787426722</v>
      </c>
      <c r="O27" s="540">
        <f t="shared" ref="O27" si="13">SUM(O7:O26)</f>
        <v>20610000.000000004</v>
      </c>
      <c r="Q27" s="500">
        <v>7916554.8000000026</v>
      </c>
      <c r="R27" s="509">
        <f>Q27+O27</f>
        <v>28526554.800000004</v>
      </c>
    </row>
    <row r="28" spans="1:18" hidden="1" x14ac:dyDescent="0.2">
      <c r="A28" s="521" t="s">
        <v>289</v>
      </c>
      <c r="B28" s="521"/>
      <c r="C28" s="522">
        <f>'[3]PRESUPUSTO ESTATAL 2017'!B52</f>
        <v>1521250.4468291907</v>
      </c>
      <c r="D28" s="522">
        <f>'[3]PRESUPUSTO ESTATAL 2017'!C52</f>
        <v>1992155.4322061262</v>
      </c>
      <c r="E28" s="522">
        <f>'[3]PRESUPUSTO ESTATAL 2017'!D52</f>
        <v>1561223.5204092669</v>
      </c>
      <c r="F28" s="522">
        <f>'[3]PRESUPUSTO ESTATAL 2017'!E52</f>
        <v>1709133.4840227321</v>
      </c>
      <c r="G28" s="522">
        <f>'[3]PRESUPUSTO ESTATAL 2017'!F52</f>
        <v>1794276.5472658337</v>
      </c>
      <c r="H28" s="522">
        <f>'[3]PRESUPUSTO ESTATAL 2017'!G52</f>
        <v>1664193.9164477964</v>
      </c>
      <c r="I28" s="522">
        <f>'[3]PRESUPUSTO ESTATAL 2017'!H52</f>
        <v>1722567.8942233375</v>
      </c>
      <c r="J28" s="522">
        <f>'[3]PRESUPUSTO ESTATAL 2017'!I52</f>
        <v>1774773.0179705636</v>
      </c>
      <c r="K28" s="522">
        <f>'[3]PRESUPUSTO ESTATAL 2017'!J52</f>
        <v>1814273.0193366187</v>
      </c>
      <c r="L28" s="522">
        <f>'[3]PRESUPUSTO ESTATAL 2017'!K52</f>
        <v>1772942.0603667807</v>
      </c>
      <c r="M28" s="522">
        <f>'[3]PRESUPUSTO ESTATAL 2017'!L52</f>
        <v>1696337.0334839264</v>
      </c>
      <c r="N28" s="522">
        <f>'[3]PRESUPUSTO ESTATAL 2017'!M52</f>
        <v>1676873.6274378267</v>
      </c>
      <c r="O28" s="522">
        <f>SUM(C28:N28)</f>
        <v>20700000</v>
      </c>
    </row>
    <row r="29" spans="1:18" hidden="1" x14ac:dyDescent="0.2">
      <c r="A29" s="523" t="s">
        <v>290</v>
      </c>
      <c r="B29" s="523"/>
      <c r="C29" s="524">
        <f>C28-C27</f>
        <v>75475.143502927851</v>
      </c>
      <c r="D29" s="524">
        <f t="shared" ref="D29:O29" si="14">D28-D27</f>
        <v>-213598.30426617176</v>
      </c>
      <c r="E29" s="524">
        <f t="shared" si="14"/>
        <v>44821.322799111949</v>
      </c>
      <c r="F29" s="524">
        <f t="shared" si="14"/>
        <v>-13404.151181783061</v>
      </c>
      <c r="G29" s="524">
        <f t="shared" si="14"/>
        <v>153140.43214431428</v>
      </c>
      <c r="H29" s="524">
        <f t="shared" si="14"/>
        <v>-51541.149387412239</v>
      </c>
      <c r="I29" s="524">
        <f t="shared" si="14"/>
        <v>-20999.930659774924</v>
      </c>
      <c r="J29" s="524">
        <f t="shared" si="14"/>
        <v>-34090.570913240314</v>
      </c>
      <c r="K29" s="524">
        <f t="shared" si="14"/>
        <v>64290.121498334222</v>
      </c>
      <c r="L29" s="524">
        <f t="shared" si="14"/>
        <v>62501.687933489215</v>
      </c>
      <c r="M29" s="524">
        <f t="shared" si="14"/>
        <v>24752.558519094484</v>
      </c>
      <c r="N29" s="524">
        <f t="shared" si="14"/>
        <v>-1347.1599888952915</v>
      </c>
      <c r="O29" s="524">
        <f t="shared" si="14"/>
        <v>89999.999999996275</v>
      </c>
    </row>
    <row r="30" spans="1:18" ht="13.5" thickBot="1" x14ac:dyDescent="0.25">
      <c r="A30" s="514" t="s">
        <v>265</v>
      </c>
    </row>
    <row r="31" spans="1:18" x14ac:dyDescent="0.2">
      <c r="A31" s="550" t="s">
        <v>303</v>
      </c>
      <c r="C31" s="509">
        <f>'X22.55 POE'!B38</f>
        <v>3320633.1981846588</v>
      </c>
      <c r="D31" s="509">
        <f>'X22.55 POE'!C38</f>
        <v>7828207.8385997387</v>
      </c>
      <c r="E31" s="509">
        <f>'X22.55 POE'!D38</f>
        <v>3567306.1197848823</v>
      </c>
      <c r="F31" s="509">
        <f>'X22.55 POE'!E38</f>
        <v>3458660.8966668444</v>
      </c>
      <c r="G31" s="509">
        <f>'X22.55 POE'!F38</f>
        <v>3659255.8220694619</v>
      </c>
      <c r="H31" s="509">
        <f>'X22.55 POE'!G38</f>
        <v>4348740.7242828803</v>
      </c>
      <c r="I31" s="509">
        <f>'X22.55 POE'!H38</f>
        <v>4079689.9474794031</v>
      </c>
      <c r="J31" s="509">
        <f>'X22.55 POE'!I38</f>
        <v>4492014.9551852979</v>
      </c>
      <c r="K31" s="509">
        <f>'X22.55 POE'!J38</f>
        <v>4521651.5168387154</v>
      </c>
      <c r="L31" s="509">
        <f>'X22.55 POE'!K38</f>
        <v>5408643.08004444</v>
      </c>
      <c r="M31" s="509">
        <f>'X22.55 POE'!L38</f>
        <v>4295163.462566209</v>
      </c>
      <c r="N31" s="509">
        <f>'X22.55 POE'!M38</f>
        <v>4329031.1132974699</v>
      </c>
      <c r="O31" s="509">
        <f>SUM(C31:N31)</f>
        <v>53308998.675000004</v>
      </c>
    </row>
    <row r="32" spans="1:18" x14ac:dyDescent="0.2">
      <c r="A32" s="553" t="s">
        <v>304</v>
      </c>
      <c r="C32" s="543">
        <f>'X22.55 POE'!B39</f>
        <v>1445775.3033262629</v>
      </c>
      <c r="D32" s="543">
        <f>'X22.55 POE'!C39</f>
        <v>2205753.7364722979</v>
      </c>
      <c r="E32" s="543">
        <f>'X22.55 POE'!D39</f>
        <v>1516402.197610155</v>
      </c>
      <c r="F32" s="543">
        <f>'X22.55 POE'!E39</f>
        <v>1722537.6352045152</v>
      </c>
      <c r="G32" s="543">
        <f>'X22.55 POE'!F39</f>
        <v>1641136.1151215194</v>
      </c>
      <c r="H32" s="543">
        <f>'X22.55 POE'!G39</f>
        <v>1715735.0658352086</v>
      </c>
      <c r="I32" s="543">
        <f>'X22.55 POE'!H39</f>
        <v>1743567.8248831125</v>
      </c>
      <c r="J32" s="543">
        <f>'X22.55 POE'!I39</f>
        <v>1808863.5888838039</v>
      </c>
      <c r="K32" s="543">
        <f>'X22.55 POE'!J39</f>
        <v>1749982.8978382845</v>
      </c>
      <c r="L32" s="543">
        <f>'X22.55 POE'!K39</f>
        <v>1710440.3724332915</v>
      </c>
      <c r="M32" s="543">
        <f>'X22.55 POE'!L39</f>
        <v>1671584.474964832</v>
      </c>
      <c r="N32" s="543">
        <f>'X22.55 POE'!M39</f>
        <v>1678220.787426722</v>
      </c>
      <c r="O32" s="543">
        <f>SUM(C32:N32)</f>
        <v>20610000.000000004</v>
      </c>
    </row>
    <row r="33" spans="1:15" ht="13.5" thickBot="1" x14ac:dyDescent="0.25">
      <c r="A33" s="557" t="s">
        <v>290</v>
      </c>
      <c r="C33" s="543">
        <f>C31-C32</f>
        <v>1874857.8948583959</v>
      </c>
      <c r="D33" s="543">
        <f t="shared" ref="D33:N33" si="15">D31-D32</f>
        <v>5622454.1021274403</v>
      </c>
      <c r="E33" s="543">
        <f t="shared" si="15"/>
        <v>2050903.9221747273</v>
      </c>
      <c r="F33" s="543">
        <f t="shared" si="15"/>
        <v>1736123.2614623292</v>
      </c>
      <c r="G33" s="543">
        <f t="shared" si="15"/>
        <v>2018119.7069479425</v>
      </c>
      <c r="H33" s="543">
        <f t="shared" si="15"/>
        <v>2633005.6584476717</v>
      </c>
      <c r="I33" s="543">
        <f t="shared" si="15"/>
        <v>2336122.1225962909</v>
      </c>
      <c r="J33" s="543">
        <f t="shared" si="15"/>
        <v>2683151.3663014937</v>
      </c>
      <c r="K33" s="543">
        <f t="shared" si="15"/>
        <v>2771668.6190004312</v>
      </c>
      <c r="L33" s="543">
        <f t="shared" si="15"/>
        <v>3698202.7076111482</v>
      </c>
      <c r="M33" s="543">
        <f t="shared" si="15"/>
        <v>2623578.9876013771</v>
      </c>
      <c r="N33" s="543">
        <f t="shared" si="15"/>
        <v>2650810.3258707477</v>
      </c>
      <c r="O33" s="543">
        <f>SUM(C33:N33)</f>
        <v>32698998.674999993</v>
      </c>
    </row>
    <row r="34" spans="1:15" x14ac:dyDescent="0.2">
      <c r="C34" s="509"/>
      <c r="D34" s="509"/>
      <c r="E34" s="509"/>
      <c r="F34" s="509"/>
      <c r="G34" s="509"/>
      <c r="H34" s="509"/>
      <c r="I34" s="509"/>
      <c r="J34" s="509"/>
      <c r="K34" s="509"/>
      <c r="L34" s="509"/>
      <c r="M34" s="509"/>
      <c r="N34" s="509"/>
      <c r="O34" s="509"/>
    </row>
    <row r="38" spans="1:15" x14ac:dyDescent="0.2">
      <c r="K38" s="509"/>
    </row>
  </sheetData>
  <mergeCells count="4">
    <mergeCell ref="A1:O1"/>
    <mergeCell ref="A2:O2"/>
    <mergeCell ref="A3:O3"/>
    <mergeCell ref="A4:O4"/>
  </mergeCells>
  <pageMargins left="0.75" right="0.75" top="1" bottom="1" header="0" footer="0"/>
  <pageSetup paperSize="5"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7" tint="0.59999389629810485"/>
  </sheetPr>
  <dimension ref="A1:O36"/>
  <sheetViews>
    <sheetView workbookViewId="0">
      <selection activeCell="A3" sqref="A3"/>
    </sheetView>
  </sheetViews>
  <sheetFormatPr baseColWidth="10" defaultRowHeight="12.75" x14ac:dyDescent="0.2"/>
  <cols>
    <col min="1" max="1" width="16.85546875" style="500" customWidth="1"/>
    <col min="2" max="2" width="9.28515625" style="500" hidden="1" customWidth="1"/>
    <col min="3" max="10" width="7.85546875" style="500" customWidth="1"/>
    <col min="11" max="11" width="9.5703125" style="500" customWidth="1"/>
    <col min="12" max="12" width="7.85546875" style="500" customWidth="1"/>
    <col min="13" max="13" width="9.42578125" style="500" customWidth="1"/>
    <col min="14" max="14" width="9.28515625" style="500" customWidth="1"/>
    <col min="15" max="15" width="11.42578125" style="500" bestFit="1" customWidth="1"/>
    <col min="16"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3" t="s">
        <v>344</v>
      </c>
      <c r="B2" s="1193"/>
      <c r="C2" s="1193"/>
      <c r="D2" s="1193"/>
      <c r="E2" s="1193"/>
      <c r="F2" s="1193"/>
      <c r="G2" s="1193"/>
      <c r="H2" s="1193"/>
      <c r="I2" s="1193"/>
      <c r="J2" s="1193"/>
      <c r="K2" s="1193"/>
      <c r="L2" s="1193"/>
      <c r="M2" s="1193"/>
      <c r="N2" s="1193"/>
      <c r="O2" s="1193"/>
    </row>
    <row r="3" spans="1:15" ht="13.5" thickBot="1" x14ac:dyDescent="0.25"/>
    <row r="4" spans="1:15" ht="23.25" thickBot="1" x14ac:dyDescent="0.25">
      <c r="A4" s="501" t="s">
        <v>288</v>
      </c>
      <c r="B4" s="502" t="s">
        <v>257</v>
      </c>
      <c r="C4" s="501" t="s">
        <v>1</v>
      </c>
      <c r="D4" s="503" t="s">
        <v>2</v>
      </c>
      <c r="E4" s="501" t="s">
        <v>3</v>
      </c>
      <c r="F4" s="503" t="s">
        <v>4</v>
      </c>
      <c r="G4" s="501" t="s">
        <v>5</v>
      </c>
      <c r="H4" s="501" t="s">
        <v>6</v>
      </c>
      <c r="I4" s="501" t="s">
        <v>7</v>
      </c>
      <c r="J4" s="503" t="s">
        <v>8</v>
      </c>
      <c r="K4" s="501" t="s">
        <v>9</v>
      </c>
      <c r="L4" s="503" t="s">
        <v>10</v>
      </c>
      <c r="M4" s="501" t="s">
        <v>11</v>
      </c>
      <c r="N4" s="501" t="s">
        <v>12</v>
      </c>
      <c r="O4" s="504" t="s">
        <v>160</v>
      </c>
    </row>
    <row r="5" spans="1:15" ht="12.75" customHeight="1" x14ac:dyDescent="0.2">
      <c r="A5" s="505" t="s">
        <v>258</v>
      </c>
      <c r="B5" s="516"/>
      <c r="C5" s="507">
        <f>'IEPS INCREMENTO'!C7+'IEPS ESTIMACIONES'!C7</f>
        <v>150706.44169397454</v>
      </c>
      <c r="D5" s="507">
        <f>'IEPS INCREMENTO'!D7+'IEPS ESTIMACIONES'!D7</f>
        <v>368029.40232338058</v>
      </c>
      <c r="E5" s="507">
        <f>'IEPS INCREMENTO'!E7+'IEPS ESTIMACIONES'!E7</f>
        <v>162291.44269457646</v>
      </c>
      <c r="F5" s="507">
        <f>'IEPS INCREMENTO'!F7+'IEPS ESTIMACIONES'!F7</f>
        <v>154674.14590017434</v>
      </c>
      <c r="G5" s="507">
        <f>'IEPS INCREMENTO'!G7+'IEPS ESTIMACIONES'!G7</f>
        <v>165566.74828318498</v>
      </c>
      <c r="H5" s="507">
        <f>'IEPS INCREMENTO'!H7+'IEPS ESTIMACIONES'!H7</f>
        <v>199250.24451629078</v>
      </c>
      <c r="I5" s="507">
        <f>'IEPS INCREMENTO'!I7+'IEPS ESTIMACIONES'!I7</f>
        <v>185502.67843020917</v>
      </c>
      <c r="J5" s="507">
        <f>'IEPS INCREMENTO'!J7+'IEPS ESTIMACIONES'!J7</f>
        <v>205426.79371709656</v>
      </c>
      <c r="K5" s="507">
        <f>'IEPS INCREMENTO'!K7+'IEPS ESTIMACIONES'!K7</f>
        <v>207532.75712484994</v>
      </c>
      <c r="L5" s="507">
        <f>'IEPS INCREMENTO'!L7+'IEPS ESTIMACIONES'!L7</f>
        <v>252301.48605442909</v>
      </c>
      <c r="M5" s="507">
        <f>'IEPS INCREMENTO'!M7+'IEPS ESTIMACIONES'!M7</f>
        <v>197039.37769368326</v>
      </c>
      <c r="N5" s="507">
        <f>'IEPS INCREMENTO'!N7+'IEPS ESTIMACIONES'!N7</f>
        <v>198662.41531815025</v>
      </c>
      <c r="O5" s="508">
        <f>SUM(C5:N5)</f>
        <v>2446983.9337499999</v>
      </c>
    </row>
    <row r="6" spans="1:15" ht="12.75" customHeight="1" x14ac:dyDescent="0.2">
      <c r="A6" s="505" t="s">
        <v>141</v>
      </c>
      <c r="B6" s="517"/>
      <c r="C6" s="507">
        <f>'IEPS INCREMENTO'!C8+'IEPS ESTIMACIONES'!C8</f>
        <v>177308.70727517779</v>
      </c>
      <c r="D6" s="507">
        <f>'IEPS INCREMENTO'!D8+'IEPS ESTIMACIONES'!D8</f>
        <v>408615.27107447083</v>
      </c>
      <c r="E6" s="507">
        <f>'IEPS INCREMENTO'!E8+'IEPS ESTIMACIONES'!E8</f>
        <v>190193.24313060331</v>
      </c>
      <c r="F6" s="507">
        <f>'IEPS INCREMENTO'!F8+'IEPS ESTIMACIONES'!F8</f>
        <v>186368.83838793743</v>
      </c>
      <c r="G6" s="507">
        <f>'IEPS INCREMENTO'!G8+'IEPS ESTIMACIONES'!G8</f>
        <v>195763.65280142095</v>
      </c>
      <c r="H6" s="507">
        <f>'IEPS INCREMENTO'!H8+'IEPS ESTIMACIONES'!H8</f>
        <v>230819.76972765863</v>
      </c>
      <c r="I6" s="507">
        <f>'IEPS INCREMENTO'!I8+'IEPS ESTIMACIONES'!I8</f>
        <v>217584.32640805843</v>
      </c>
      <c r="J6" s="507">
        <f>'IEPS INCREMENTO'!J8+'IEPS ESTIMACIONES'!J8</f>
        <v>238709.88375255855</v>
      </c>
      <c r="K6" s="507">
        <f>'IEPS INCREMENTO'!K8+'IEPS ESTIMACIONES'!K8</f>
        <v>239732.44244507438</v>
      </c>
      <c r="L6" s="507">
        <f>'IEPS INCREMENTO'!L8+'IEPS ESTIMACIONES'!L8</f>
        <v>283773.58890720166</v>
      </c>
      <c r="M6" s="507">
        <f>'IEPS INCREMENTO'!M8+'IEPS ESTIMACIONES'!M8</f>
        <v>227796.53203303614</v>
      </c>
      <c r="N6" s="507">
        <f>'IEPS INCREMENTO'!N8+'IEPS ESTIMACIONES'!N8</f>
        <v>229541.67780680192</v>
      </c>
      <c r="O6" s="508">
        <f t="shared" ref="O6:O24" si="0">SUM(C6:N6)</f>
        <v>2826207.9337500003</v>
      </c>
    </row>
    <row r="7" spans="1:15" ht="12.75" customHeight="1" x14ac:dyDescent="0.2">
      <c r="A7" s="505" t="s">
        <v>142</v>
      </c>
      <c r="B7" s="517"/>
      <c r="C7" s="507">
        <f>'IEPS INCREMENTO'!C9+'IEPS ESTIMACIONES'!C9</f>
        <v>182224.34330648708</v>
      </c>
      <c r="D7" s="507">
        <f>'IEPS INCREMENTO'!D9+'IEPS ESTIMACIONES'!D9</f>
        <v>416114.83377847663</v>
      </c>
      <c r="E7" s="507">
        <f>'IEPS INCREMENTO'!E9+'IEPS ESTIMACIONES'!E9</f>
        <v>195349.01060247782</v>
      </c>
      <c r="F7" s="507">
        <f>'IEPS INCREMENTO'!F9+'IEPS ESTIMACIONES'!F9</f>
        <v>192225.46634763278</v>
      </c>
      <c r="G7" s="507">
        <f>'IEPS INCREMENTO'!G9+'IEPS ESTIMACIONES'!G9</f>
        <v>201343.5155928341</v>
      </c>
      <c r="H7" s="507">
        <f>'IEPS INCREMENTO'!H9+'IEPS ESTIMACIONES'!H9</f>
        <v>236653.26895149832</v>
      </c>
      <c r="I7" s="507">
        <f>'IEPS INCREMENTO'!I9+'IEPS ESTIMACIONES'!I9</f>
        <v>223512.45701266103</v>
      </c>
      <c r="J7" s="507">
        <f>'IEPS INCREMENTO'!J9+'IEPS ESTIMACIONES'!J9</f>
        <v>244860.01995476347</v>
      </c>
      <c r="K7" s="507">
        <f>'IEPS INCREMENTO'!K9+'IEPS ESTIMACIONES'!K9</f>
        <v>245682.38429772455</v>
      </c>
      <c r="L7" s="507">
        <f>'IEPS INCREMENTO'!L9+'IEPS ESTIMACIONES'!L9</f>
        <v>289589.08617347485</v>
      </c>
      <c r="M7" s="507">
        <f>'IEPS INCREMENTO'!M9+'IEPS ESTIMACIONES'!M9</f>
        <v>233479.91924791658</v>
      </c>
      <c r="N7" s="507">
        <f>'IEPS INCREMENTO'!N9+'IEPS ESTIMACIONES'!N9</f>
        <v>235247.62848405278</v>
      </c>
      <c r="O7" s="508">
        <f t="shared" si="0"/>
        <v>2896281.9337499999</v>
      </c>
    </row>
    <row r="8" spans="1:15" ht="12.75" customHeight="1" x14ac:dyDescent="0.2">
      <c r="A8" s="505" t="s">
        <v>259</v>
      </c>
      <c r="B8" s="517"/>
      <c r="C8" s="507">
        <f>'IEPS INCREMENTO'!C10+'IEPS ESTIMACIONES'!C10</f>
        <v>167188.28015189397</v>
      </c>
      <c r="D8" s="507">
        <f>'IEPS INCREMENTO'!D10+'IEPS ESTIMACIONES'!D10</f>
        <v>393174.99491916475</v>
      </c>
      <c r="E8" s="507">
        <f>'IEPS INCREMENTO'!E10+'IEPS ESTIMACIONES'!E10</f>
        <v>179578.42774733223</v>
      </c>
      <c r="F8" s="507">
        <f>'IEPS INCREMENTO'!F10+'IEPS ESTIMACIONES'!F10</f>
        <v>174311.07494150582</v>
      </c>
      <c r="G8" s="507">
        <f>'IEPS INCREMENTO'!G10+'IEPS ESTIMACIONES'!G10</f>
        <v>184275.69999557029</v>
      </c>
      <c r="H8" s="507">
        <f>'IEPS INCREMENTO'!H10+'IEPS ESTIMACIONES'!H10</f>
        <v>218809.62426681217</v>
      </c>
      <c r="I8" s="507">
        <f>'IEPS INCREMENTO'!I10+'IEPS ESTIMACIONES'!I10</f>
        <v>205379.35163387665</v>
      </c>
      <c r="J8" s="507">
        <f>'IEPS INCREMENTO'!J10+'IEPS ESTIMACIONES'!J10</f>
        <v>226047.83863037193</v>
      </c>
      <c r="K8" s="507">
        <f>'IEPS INCREMENTO'!K10+'IEPS ESTIMACIONES'!K10</f>
        <v>227482.56216020638</v>
      </c>
      <c r="L8" s="507">
        <f>'IEPS INCREMENTO'!L10+'IEPS ESTIMACIONES'!L10</f>
        <v>271800.50630016858</v>
      </c>
      <c r="M8" s="507">
        <f>'IEPS INCREMENTO'!M10+'IEPS ESTIMACIONES'!M10</f>
        <v>216095.44070828235</v>
      </c>
      <c r="N8" s="507">
        <f>'IEPS INCREMENTO'!N10+'IEPS ESTIMACIONES'!N10</f>
        <v>217794.13229481486</v>
      </c>
      <c r="O8" s="508">
        <f t="shared" si="0"/>
        <v>2681937.9337499999</v>
      </c>
    </row>
    <row r="9" spans="1:15" ht="12.75" customHeight="1" x14ac:dyDescent="0.2">
      <c r="A9" s="505" t="s">
        <v>144</v>
      </c>
      <c r="B9" s="517"/>
      <c r="C9" s="507">
        <f>'IEPS INCREMENTO'!C11+'IEPS ESTIMACIONES'!C11</f>
        <v>138128.19655503606</v>
      </c>
      <c r="D9" s="507">
        <f>'IEPS INCREMENTO'!D11+'IEPS ESTIMACIONES'!D11</f>
        <v>348839.34481607156</v>
      </c>
      <c r="E9" s="507">
        <f>'IEPS INCREMENTO'!E11+'IEPS ESTIMACIONES'!E11</f>
        <v>149098.74357536813</v>
      </c>
      <c r="F9" s="507">
        <f>'IEPS INCREMENTO'!F11+'IEPS ESTIMACIONES'!F11</f>
        <v>139688.06847389508</v>
      </c>
      <c r="G9" s="507">
        <f>'IEPS INCREMENTO'!G11+'IEPS ESTIMACIONES'!G11</f>
        <v>151288.86408162775</v>
      </c>
      <c r="H9" s="507">
        <f>'IEPS INCREMENTO'!H11+'IEPS ESTIMACIONES'!H11</f>
        <v>184323.34944352449</v>
      </c>
      <c r="I9" s="507">
        <f>'IEPS INCREMENTO'!I11+'IEPS ESTIMACIONES'!I11</f>
        <v>170333.6383537261</v>
      </c>
      <c r="J9" s="507">
        <f>'IEPS INCREMENTO'!J11+'IEPS ESTIMACIONES'!J11</f>
        <v>189689.68049380748</v>
      </c>
      <c r="K9" s="507">
        <f>'IEPS INCREMENTO'!K11+'IEPS ESTIMACIONES'!K11</f>
        <v>192307.90591365687</v>
      </c>
      <c r="L9" s="507">
        <f>'IEPS INCREMENTO'!L11+'IEPS ESTIMACIONES'!L11</f>
        <v>237420.65481425944</v>
      </c>
      <c r="M9" s="507">
        <f>'IEPS INCREMENTO'!M11+'IEPS ESTIMACIONES'!M11</f>
        <v>182496.59276148921</v>
      </c>
      <c r="N9" s="507">
        <f>'IEPS INCREMENTO'!N11+'IEPS ESTIMACIONES'!N11</f>
        <v>184061.89446753776</v>
      </c>
      <c r="O9" s="508">
        <f t="shared" si="0"/>
        <v>2267676.9337499999</v>
      </c>
    </row>
    <row r="10" spans="1:15" ht="12.75" customHeight="1" x14ac:dyDescent="0.2">
      <c r="A10" s="505" t="s">
        <v>260</v>
      </c>
      <c r="B10" s="517"/>
      <c r="C10" s="507">
        <f>'IEPS INCREMENTO'!C12+'IEPS ESTIMACIONES'!C12</f>
        <v>231236.12608924741</v>
      </c>
      <c r="D10" s="507">
        <f>'IEPS INCREMENTO'!D12+'IEPS ESTIMACIONES'!D12</f>
        <v>490889.88544488756</v>
      </c>
      <c r="E10" s="507">
        <f>'IEPS INCREMENTO'!E12+'IEPS ESTIMACIONES'!E12</f>
        <v>246755.04510146211</v>
      </c>
      <c r="F10" s="507">
        <f>'IEPS INCREMENTO'!F12+'IEPS ESTIMACIONES'!F12</f>
        <v>250619.49218106584</v>
      </c>
      <c r="G10" s="507">
        <f>'IEPS INCREMENTO'!G12+'IEPS ESTIMACIONES'!G12</f>
        <v>256978.0298954536</v>
      </c>
      <c r="H10" s="507">
        <f>'IEPS INCREMENTO'!H12+'IEPS ESTIMACIONES'!H12</f>
        <v>294816.68768331193</v>
      </c>
      <c r="I10" s="507">
        <f>'IEPS INCREMENTO'!I12+'IEPS ESTIMACIONES'!I12</f>
        <v>282619.40627619851</v>
      </c>
      <c r="J10" s="507">
        <f>'IEPS INCREMENTO'!J12+'IEPS ESTIMACIONES'!J12</f>
        <v>306180.49561792449</v>
      </c>
      <c r="K10" s="507">
        <f>'IEPS INCREMENTO'!K12+'IEPS ESTIMACIONES'!K12</f>
        <v>305006.80453444237</v>
      </c>
      <c r="L10" s="507">
        <f>'IEPS INCREMENTO'!L12+'IEPS ESTIMACIONES'!L12</f>
        <v>347573.01479896344</v>
      </c>
      <c r="M10" s="507">
        <f>'IEPS INCREMENTO'!M12+'IEPS ESTIMACIONES'!M12</f>
        <v>290146.63294922438</v>
      </c>
      <c r="N10" s="507">
        <f>'IEPS INCREMENTO'!N12+'IEPS ESTIMACIONES'!N12</f>
        <v>292139.31317781867</v>
      </c>
      <c r="O10" s="508">
        <f t="shared" si="0"/>
        <v>3594960.9337499999</v>
      </c>
    </row>
    <row r="11" spans="1:15" ht="12.75" customHeight="1" x14ac:dyDescent="0.2">
      <c r="A11" s="505" t="s">
        <v>146</v>
      </c>
      <c r="B11" s="517"/>
      <c r="C11" s="507">
        <f>'IEPS INCREMENTO'!C13+'IEPS ESTIMACIONES'!C13</f>
        <v>228633.73054326011</v>
      </c>
      <c r="D11" s="507">
        <f>'IEPS INCREMENTO'!D13+'IEPS ESTIMACIONES'!D13</f>
        <v>486919.52871923742</v>
      </c>
      <c r="E11" s="507">
        <f>'IEPS INCREMENTO'!E13+'IEPS ESTIMACIONES'!E13</f>
        <v>244025.52114576381</v>
      </c>
      <c r="F11" s="507">
        <f>'IEPS INCREMENTO'!F13+'IEPS ESTIMACIONES'!F13</f>
        <v>247518.92443769774</v>
      </c>
      <c r="G11" s="507">
        <f>'IEPS INCREMENTO'!G13+'IEPS ESTIMACIONES'!G13</f>
        <v>254023.98488823487</v>
      </c>
      <c r="H11" s="507">
        <f>'IEPS INCREMENTO'!H13+'IEPS ESTIMACIONES'!H13</f>
        <v>291728.36456480855</v>
      </c>
      <c r="I11" s="507">
        <f>'IEPS INCREMENTO'!I13+'IEPS ESTIMACIONES'!I13</f>
        <v>279480.9841914089</v>
      </c>
      <c r="J11" s="507">
        <f>'IEPS INCREMENTO'!J13+'IEPS ESTIMACIONES'!J13</f>
        <v>302924.54115793359</v>
      </c>
      <c r="K11" s="507">
        <f>'IEPS INCREMENTO'!K13+'IEPS ESTIMACIONES'!K13</f>
        <v>301856.83531833347</v>
      </c>
      <c r="L11" s="507">
        <f>'IEPS INCREMENTO'!L13+'IEPS ESTIMACIONES'!L13</f>
        <v>344494.22212858347</v>
      </c>
      <c r="M11" s="507">
        <f>'IEPS INCREMENTO'!M13+'IEPS ESTIMACIONES'!M13</f>
        <v>287137.78089428769</v>
      </c>
      <c r="N11" s="507">
        <f>'IEPS INCREMENTO'!N13+'IEPS ESTIMACIONES'!N13</f>
        <v>289118.51576045051</v>
      </c>
      <c r="O11" s="508">
        <f t="shared" si="0"/>
        <v>3557862.9337500003</v>
      </c>
    </row>
    <row r="12" spans="1:15" ht="12.75" customHeight="1" x14ac:dyDescent="0.2">
      <c r="A12" s="505" t="s">
        <v>147</v>
      </c>
      <c r="B12" s="517"/>
      <c r="C12" s="507">
        <f>'IEPS INCREMENTO'!C14+'IEPS ESTIMACIONES'!C14</f>
        <v>159091.93845326686</v>
      </c>
      <c r="D12" s="507">
        <f>'IEPS INCREMENTO'!D14+'IEPS ESTIMACIONES'!D14</f>
        <v>380822.77399491984</v>
      </c>
      <c r="E12" s="507">
        <f>'IEPS INCREMENTO'!E14+'IEPS ESTIMACIONES'!E14</f>
        <v>171086.57544071536</v>
      </c>
      <c r="F12" s="507">
        <f>'IEPS INCREMENTO'!F14+'IEPS ESTIMACIONES'!F14</f>
        <v>164664.86418436054</v>
      </c>
      <c r="G12" s="507">
        <f>'IEPS INCREMENTO'!G14+'IEPS ESTIMACIONES'!G14</f>
        <v>175085.33775088977</v>
      </c>
      <c r="H12" s="507">
        <f>'IEPS INCREMENTO'!H14+'IEPS ESTIMACIONES'!H14</f>
        <v>209201.50789813499</v>
      </c>
      <c r="I12" s="507">
        <f>'IEPS INCREMENTO'!I14+'IEPS ESTIMACIONES'!I14</f>
        <v>195615.37181453122</v>
      </c>
      <c r="J12" s="507">
        <f>'IEPS INCREMENTO'!J14+'IEPS ESTIMACIONES'!J14</f>
        <v>215918.20253262261</v>
      </c>
      <c r="K12" s="507">
        <f>'IEPS INCREMENTO'!K14+'IEPS ESTIMACIONES'!K14</f>
        <v>217682.65793231199</v>
      </c>
      <c r="L12" s="507">
        <f>'IEPS INCREMENTO'!L14+'IEPS ESTIMACIONES'!L14</f>
        <v>262222.04021454218</v>
      </c>
      <c r="M12" s="507">
        <f>'IEPS INCREMENTO'!M14+'IEPS ESTIMACIONES'!M14</f>
        <v>206734.56764847925</v>
      </c>
      <c r="N12" s="507">
        <f>'IEPS INCREMENTO'!N14+'IEPS ESTIMACIONES'!N14</f>
        <v>208396.09588522522</v>
      </c>
      <c r="O12" s="508">
        <f t="shared" si="0"/>
        <v>2566521.9337499994</v>
      </c>
    </row>
    <row r="13" spans="1:15" ht="12.75" customHeight="1" x14ac:dyDescent="0.2">
      <c r="A13" s="505" t="s">
        <v>148</v>
      </c>
      <c r="B13" s="517"/>
      <c r="C13" s="507">
        <f>'IEPS INCREMENTO'!C15+'IEPS ESTIMACIONES'!C15</f>
        <v>167188.28015189397</v>
      </c>
      <c r="D13" s="507">
        <f>'IEPS INCREMENTO'!D15+'IEPS ESTIMACIONES'!D15</f>
        <v>393174.99491916475</v>
      </c>
      <c r="E13" s="507">
        <f>'IEPS INCREMENTO'!E15+'IEPS ESTIMACIONES'!E15</f>
        <v>179578.42774733223</v>
      </c>
      <c r="F13" s="507">
        <f>'IEPS INCREMENTO'!F15+'IEPS ESTIMACIONES'!F15</f>
        <v>174311.07494150582</v>
      </c>
      <c r="G13" s="507">
        <f>'IEPS INCREMENTO'!G15+'IEPS ESTIMACIONES'!G15</f>
        <v>184275.69999557029</v>
      </c>
      <c r="H13" s="507">
        <f>'IEPS INCREMENTO'!H15+'IEPS ESTIMACIONES'!H15</f>
        <v>218809.62426681217</v>
      </c>
      <c r="I13" s="507">
        <f>'IEPS INCREMENTO'!I15+'IEPS ESTIMACIONES'!I15</f>
        <v>205379.35163387665</v>
      </c>
      <c r="J13" s="507">
        <f>'IEPS INCREMENTO'!J15+'IEPS ESTIMACIONES'!J15</f>
        <v>226047.83863037193</v>
      </c>
      <c r="K13" s="507">
        <f>'IEPS INCREMENTO'!K15+'IEPS ESTIMACIONES'!K15</f>
        <v>227482.56216020638</v>
      </c>
      <c r="L13" s="507">
        <f>'IEPS INCREMENTO'!L15+'IEPS ESTIMACIONES'!L15</f>
        <v>271800.50630016858</v>
      </c>
      <c r="M13" s="507">
        <f>'IEPS INCREMENTO'!M15+'IEPS ESTIMACIONES'!M15</f>
        <v>216095.44070828235</v>
      </c>
      <c r="N13" s="507">
        <f>'IEPS INCREMENTO'!N15+'IEPS ESTIMACIONES'!N15</f>
        <v>217794.13229481486</v>
      </c>
      <c r="O13" s="508">
        <f t="shared" si="0"/>
        <v>2681937.9337499999</v>
      </c>
    </row>
    <row r="14" spans="1:15" ht="12.75" customHeight="1" x14ac:dyDescent="0.2">
      <c r="A14" s="505" t="s">
        <v>149</v>
      </c>
      <c r="B14" s="517"/>
      <c r="C14" s="507">
        <f>'IEPS INCREMENTO'!C16+'IEPS ESTIMACIONES'!C16</f>
        <v>222706.05179962245</v>
      </c>
      <c r="D14" s="507">
        <f>'IEPS INCREMENTO'!D16+'IEPS ESTIMACIONES'!D16</f>
        <v>477875.93839970103</v>
      </c>
      <c r="E14" s="507">
        <f>'IEPS INCREMENTO'!E16+'IEPS ESTIMACIONES'!E16</f>
        <v>237808.27213556218</v>
      </c>
      <c r="F14" s="507">
        <f>'IEPS INCREMENTO'!F16+'IEPS ESTIMACIONES'!F16</f>
        <v>240456.52013335924</v>
      </c>
      <c r="G14" s="507">
        <f>'IEPS INCREMENTO'!G16+'IEPS ESTIMACIONES'!G16</f>
        <v>247295.32681623666</v>
      </c>
      <c r="H14" s="507">
        <f>'IEPS INCREMENTO'!H16+'IEPS ESTIMACIONES'!H16</f>
        <v>284693.85079488414</v>
      </c>
      <c r="I14" s="507">
        <f>'IEPS INCREMENTO'!I16+'IEPS ESTIMACIONES'!I16</f>
        <v>272332.35610938817</v>
      </c>
      <c r="J14" s="507">
        <f>'IEPS INCREMENTO'!J16+'IEPS ESTIMACIONES'!J16</f>
        <v>295508.20044350997</v>
      </c>
      <c r="K14" s="507">
        <f>'IEPS INCREMENTO'!K16+'IEPS ESTIMACIONES'!K16</f>
        <v>294681.90543719649</v>
      </c>
      <c r="L14" s="507">
        <f>'IEPS INCREMENTO'!L16+'IEPS ESTIMACIONES'!L16</f>
        <v>337481.41660160699</v>
      </c>
      <c r="M14" s="507">
        <f>'IEPS INCREMENTO'!M16+'IEPS ESTIMACIONES'!M16</f>
        <v>280284.28454693186</v>
      </c>
      <c r="N14" s="507">
        <f>'IEPS INCREMENTO'!N16+'IEPS ESTIMACIONES'!N16</f>
        <v>282237.81053200096</v>
      </c>
      <c r="O14" s="508">
        <f t="shared" si="0"/>
        <v>3473361.9337499999</v>
      </c>
    </row>
    <row r="15" spans="1:15" ht="12.75" customHeight="1" x14ac:dyDescent="0.2">
      <c r="A15" s="505" t="s">
        <v>150</v>
      </c>
      <c r="B15" s="517"/>
      <c r="C15" s="507">
        <f>'IEPS INCREMENTO'!C17+'IEPS ESTIMACIONES'!C17</f>
        <v>166320.8149698982</v>
      </c>
      <c r="D15" s="507">
        <f>'IEPS INCREMENTO'!D17+'IEPS ESTIMACIONES'!D17</f>
        <v>391851.54267728137</v>
      </c>
      <c r="E15" s="507">
        <f>'IEPS INCREMENTO'!E17+'IEPS ESTIMACIONES'!E17</f>
        <v>178668.58642876614</v>
      </c>
      <c r="F15" s="507">
        <f>'IEPS INCREMENTO'!F17+'IEPS ESTIMACIONES'!F17</f>
        <v>173277.55236038312</v>
      </c>
      <c r="G15" s="507">
        <f>'IEPS INCREMENTO'!G17+'IEPS ESTIMACIONES'!G17</f>
        <v>183291.0183264974</v>
      </c>
      <c r="H15" s="507">
        <f>'IEPS INCREMENTO'!H17+'IEPS ESTIMACIONES'!H17</f>
        <v>217780.18322731106</v>
      </c>
      <c r="I15" s="507">
        <f>'IEPS INCREMENTO'!I17+'IEPS ESTIMACIONES'!I17</f>
        <v>204333.21093894678</v>
      </c>
      <c r="J15" s="507">
        <f>'IEPS INCREMENTO'!J17+'IEPS ESTIMACIONES'!J17</f>
        <v>224962.52047704166</v>
      </c>
      <c r="K15" s="507">
        <f>'IEPS INCREMENTO'!K17+'IEPS ESTIMACIONES'!K17</f>
        <v>226432.57242150343</v>
      </c>
      <c r="L15" s="507">
        <f>'IEPS INCREMENTO'!L17+'IEPS ESTIMACIONES'!L17</f>
        <v>270774.24207670864</v>
      </c>
      <c r="M15" s="507">
        <f>'IEPS INCREMENTO'!M17+'IEPS ESTIMACIONES'!M17</f>
        <v>215092.49002330343</v>
      </c>
      <c r="N15" s="507">
        <f>'IEPS INCREMENTO'!N17+'IEPS ESTIMACIONES'!N17</f>
        <v>216787.19982235885</v>
      </c>
      <c r="O15" s="508">
        <f t="shared" si="0"/>
        <v>2669571.9337499999</v>
      </c>
    </row>
    <row r="16" spans="1:15" ht="12.75" customHeight="1" x14ac:dyDescent="0.2">
      <c r="A16" s="505" t="s">
        <v>151</v>
      </c>
      <c r="B16" s="517"/>
      <c r="C16" s="507">
        <f>'IEPS INCREMENTO'!C18+'IEPS ESTIMACIONES'!C18</f>
        <v>155766.65525561647</v>
      </c>
      <c r="D16" s="507">
        <f>'IEPS INCREMENTO'!D18+'IEPS ESTIMACIONES'!D18</f>
        <v>375749.54040103359</v>
      </c>
      <c r="E16" s="507">
        <f>'IEPS INCREMENTO'!E18+'IEPS ESTIMACIONES'!E18</f>
        <v>167598.850386212</v>
      </c>
      <c r="F16" s="507">
        <f>'IEPS INCREMENTO'!F18+'IEPS ESTIMACIONES'!F18</f>
        <v>160703.02762339017</v>
      </c>
      <c r="G16" s="507">
        <f>'IEPS INCREMENTO'!G18+'IEPS ESTIMACIONES'!G18</f>
        <v>171310.7246861103</v>
      </c>
      <c r="H16" s="507">
        <f>'IEPS INCREMENTO'!H18+'IEPS ESTIMACIONES'!H18</f>
        <v>205255.31724671402</v>
      </c>
      <c r="I16" s="507">
        <f>'IEPS INCREMENTO'!I18+'IEPS ESTIMACIONES'!I18</f>
        <v>191605.16581730006</v>
      </c>
      <c r="J16" s="507">
        <f>'IEPS INCREMENTO'!J18+'IEPS ESTIMACIONES'!J18</f>
        <v>211757.81627818989</v>
      </c>
      <c r="K16" s="507">
        <f>'IEPS INCREMENTO'!K18+'IEPS ESTIMACIONES'!K18</f>
        <v>213657.69726728395</v>
      </c>
      <c r="L16" s="507">
        <f>'IEPS INCREMENTO'!L18+'IEPS ESTIMACIONES'!L18</f>
        <v>258288.0273579456</v>
      </c>
      <c r="M16" s="507">
        <f>'IEPS INCREMENTO'!M18+'IEPS ESTIMACIONES'!M18</f>
        <v>202889.92335606017</v>
      </c>
      <c r="N16" s="507">
        <f>'IEPS INCREMENTO'!N18+'IEPS ESTIMACIONES'!N18</f>
        <v>204536.18807414378</v>
      </c>
      <c r="O16" s="508">
        <f t="shared" si="0"/>
        <v>2519118.9337499999</v>
      </c>
    </row>
    <row r="17" spans="1:15" ht="12.75" customHeight="1" x14ac:dyDescent="0.2">
      <c r="A17" s="505" t="s">
        <v>152</v>
      </c>
      <c r="B17" s="517"/>
      <c r="C17" s="507">
        <f>'IEPS INCREMENTO'!C19+'IEPS ESTIMACIONES'!C19</f>
        <v>137694.46396403818</v>
      </c>
      <c r="D17" s="507">
        <f>'IEPS INCREMENTO'!D19+'IEPS ESTIMACIONES'!D19</f>
        <v>348177.61869512987</v>
      </c>
      <c r="E17" s="507">
        <f>'IEPS INCREMENTO'!E19+'IEPS ESTIMACIONES'!E19</f>
        <v>148643.82291608508</v>
      </c>
      <c r="F17" s="507">
        <f>'IEPS INCREMENTO'!F19+'IEPS ESTIMACIONES'!F19</f>
        <v>139171.30718333373</v>
      </c>
      <c r="G17" s="507">
        <f>'IEPS INCREMENTO'!G19+'IEPS ESTIMACIONES'!G19</f>
        <v>150796.5232470913</v>
      </c>
      <c r="H17" s="507">
        <f>'IEPS INCREMENTO'!H19+'IEPS ESTIMACIONES'!H19</f>
        <v>183808.62892377391</v>
      </c>
      <c r="I17" s="507">
        <f>'IEPS INCREMENTO'!I19+'IEPS ESTIMACIONES'!I19</f>
        <v>169810.56800626116</v>
      </c>
      <c r="J17" s="507">
        <f>'IEPS INCREMENTO'!J19+'IEPS ESTIMACIONES'!J19</f>
        <v>189147.02141714233</v>
      </c>
      <c r="K17" s="507">
        <f>'IEPS INCREMENTO'!K19+'IEPS ESTIMACIONES'!K19</f>
        <v>191782.91104430539</v>
      </c>
      <c r="L17" s="507">
        <f>'IEPS INCREMENTO'!L19+'IEPS ESTIMACIONES'!L19</f>
        <v>236907.52270252944</v>
      </c>
      <c r="M17" s="507">
        <f>'IEPS INCREMENTO'!M19+'IEPS ESTIMACIONES'!M19</f>
        <v>181995.11741899975</v>
      </c>
      <c r="N17" s="507">
        <f>'IEPS INCREMENTO'!N19+'IEPS ESTIMACIONES'!N19</f>
        <v>183558.42823130975</v>
      </c>
      <c r="O17" s="508">
        <f t="shared" si="0"/>
        <v>2261493.9337499999</v>
      </c>
    </row>
    <row r="18" spans="1:15" ht="12.75" customHeight="1" x14ac:dyDescent="0.2">
      <c r="A18" s="505" t="s">
        <v>261</v>
      </c>
      <c r="B18" s="517"/>
      <c r="C18" s="507">
        <f>'IEPS INCREMENTO'!C20+'IEPS ESTIMACIONES'!C20</f>
        <v>190609.8400657794</v>
      </c>
      <c r="D18" s="507">
        <f>'IEPS INCREMENTO'!D20+'IEPS ESTIMACIONES'!D20</f>
        <v>428908.20545001596</v>
      </c>
      <c r="E18" s="507">
        <f>'IEPS INCREMENTO'!E20+'IEPS ESTIMACIONES'!E20</f>
        <v>204144.14334861675</v>
      </c>
      <c r="F18" s="507">
        <f>'IEPS INCREMENTO'!F20+'IEPS ESTIMACIONES'!F20</f>
        <v>202216.18463181899</v>
      </c>
      <c r="G18" s="507">
        <f>'IEPS INCREMENTO'!G20+'IEPS ESTIMACIONES'!G20</f>
        <v>210862.10506053892</v>
      </c>
      <c r="H18" s="507">
        <f>'IEPS INCREMENTO'!H20+'IEPS ESTIMACIONES'!H20</f>
        <v>246604.53233334256</v>
      </c>
      <c r="I18" s="507">
        <f>'IEPS INCREMENTO'!I20+'IEPS ESTIMACIONES'!I20</f>
        <v>233625.15039698308</v>
      </c>
      <c r="J18" s="507">
        <f>'IEPS INCREMENTO'!J20+'IEPS ESTIMACIONES'!J20</f>
        <v>255351.42877028958</v>
      </c>
      <c r="K18" s="507">
        <f>'IEPS INCREMENTO'!K20+'IEPS ESTIMACIONES'!K20</f>
        <v>255832.28510518663</v>
      </c>
      <c r="L18" s="507">
        <f>'IEPS INCREMENTO'!L20+'IEPS ESTIMACIONES'!L20</f>
        <v>299509.64033358794</v>
      </c>
      <c r="M18" s="507">
        <f>'IEPS INCREMENTO'!M20+'IEPS ESTIMACIONES'!M20</f>
        <v>243175.1092027126</v>
      </c>
      <c r="N18" s="507">
        <f>'IEPS INCREMENTO'!N20+'IEPS ESTIMACIONES'!N20</f>
        <v>244981.30905112776</v>
      </c>
      <c r="O18" s="508">
        <f t="shared" si="0"/>
        <v>3015819.9337500003</v>
      </c>
    </row>
    <row r="19" spans="1:15" ht="12.75" customHeight="1" x14ac:dyDescent="0.2">
      <c r="A19" s="505" t="s">
        <v>262</v>
      </c>
      <c r="B19" s="517"/>
      <c r="C19" s="507">
        <f>'IEPS INCREMENTO'!C21+'IEPS ESTIMACIONES'!C21</f>
        <v>167188.28015189397</v>
      </c>
      <c r="D19" s="507">
        <f>'IEPS INCREMENTO'!D21+'IEPS ESTIMACIONES'!D21</f>
        <v>393174.99491916475</v>
      </c>
      <c r="E19" s="507">
        <f>'IEPS INCREMENTO'!E21+'IEPS ESTIMACIONES'!E21</f>
        <v>179578.42774733223</v>
      </c>
      <c r="F19" s="507">
        <f>'IEPS INCREMENTO'!F21+'IEPS ESTIMACIONES'!F21</f>
        <v>174311.07494150582</v>
      </c>
      <c r="G19" s="507">
        <f>'IEPS INCREMENTO'!G21+'IEPS ESTIMACIONES'!G21</f>
        <v>184275.69999557029</v>
      </c>
      <c r="H19" s="507">
        <f>'IEPS INCREMENTO'!H21+'IEPS ESTIMACIONES'!H21</f>
        <v>218809.62426681217</v>
      </c>
      <c r="I19" s="507">
        <f>'IEPS INCREMENTO'!I21+'IEPS ESTIMACIONES'!I21</f>
        <v>205379.35163387665</v>
      </c>
      <c r="J19" s="507">
        <f>'IEPS INCREMENTO'!J21+'IEPS ESTIMACIONES'!J21</f>
        <v>226047.83863037193</v>
      </c>
      <c r="K19" s="507">
        <f>'IEPS INCREMENTO'!K21+'IEPS ESTIMACIONES'!K21</f>
        <v>227482.56216020638</v>
      </c>
      <c r="L19" s="507">
        <f>'IEPS INCREMENTO'!L21+'IEPS ESTIMACIONES'!L21</f>
        <v>271800.50630016858</v>
      </c>
      <c r="M19" s="507">
        <f>'IEPS INCREMENTO'!M21+'IEPS ESTIMACIONES'!M21</f>
        <v>216095.44070828235</v>
      </c>
      <c r="N19" s="507">
        <f>'IEPS INCREMENTO'!N21+'IEPS ESTIMACIONES'!N21</f>
        <v>217794.13229481486</v>
      </c>
      <c r="O19" s="508">
        <f t="shared" si="0"/>
        <v>2681937.9337499999</v>
      </c>
    </row>
    <row r="20" spans="1:15" ht="12.75" customHeight="1" x14ac:dyDescent="0.2">
      <c r="A20" s="505" t="s">
        <v>263</v>
      </c>
      <c r="B20" s="517"/>
      <c r="C20" s="507">
        <f>'IEPS INCREMENTO'!C22+'IEPS ESTIMACIONES'!C22</f>
        <v>118321.07489946627</v>
      </c>
      <c r="D20" s="507">
        <f>'IEPS INCREMENTO'!D22+'IEPS ESTIMACIONES'!D22</f>
        <v>318620.51862640108</v>
      </c>
      <c r="E20" s="507">
        <f>'IEPS INCREMENTO'!E22+'IEPS ESTIMACIONES'!E22</f>
        <v>128324.033468109</v>
      </c>
      <c r="F20" s="507">
        <f>'IEPS INCREMENTO'!F22+'IEPS ESTIMACIONES'!F22</f>
        <v>116089.30287159322</v>
      </c>
      <c r="G20" s="507">
        <f>'IEPS INCREMENTO'!G22+'IEPS ESTIMACIONES'!G22</f>
        <v>128805.29930446294</v>
      </c>
      <c r="H20" s="507">
        <f>'IEPS INCREMENTO'!H22+'IEPS ESTIMACIONES'!H22</f>
        <v>160817.77904158214</v>
      </c>
      <c r="I20" s="507">
        <f>'IEPS INCREMENTO'!I22+'IEPS ESTIMACIONES'!I22</f>
        <v>146446.75915282744</v>
      </c>
      <c r="J20" s="507">
        <f>'IEPS INCREMENTO'!J22+'IEPS ESTIMACIONES'!J22</f>
        <v>164908.24932609935</v>
      </c>
      <c r="K20" s="507">
        <f>'IEPS INCREMENTO'!K22+'IEPS ESTIMACIONES'!K22</f>
        <v>168333.14021327239</v>
      </c>
      <c r="L20" s="507">
        <f>'IEPS INCREMENTO'!L22+'IEPS ESTIMACIONES'!L22</f>
        <v>213987.62171192333</v>
      </c>
      <c r="M20" s="507">
        <f>'IEPS INCREMENTO'!M22+'IEPS ESTIMACIONES'!M22</f>
        <v>159595.88545447102</v>
      </c>
      <c r="N20" s="507">
        <f>'IEPS INCREMENTO'!N22+'IEPS ESTIMACIONES'!N22</f>
        <v>161070.26967979167</v>
      </c>
      <c r="O20" s="508">
        <f t="shared" si="0"/>
        <v>1985319.9337499999</v>
      </c>
    </row>
    <row r="21" spans="1:15" ht="12.75" customHeight="1" x14ac:dyDescent="0.2">
      <c r="A21" s="505" t="s">
        <v>156</v>
      </c>
      <c r="B21" s="517"/>
      <c r="C21" s="507">
        <f>'IEPS INCREMENTO'!C23+'IEPS ESTIMACIONES'!C23</f>
        <v>152730.52711863135</v>
      </c>
      <c r="D21" s="507">
        <f>'IEPS INCREMENTO'!D23+'IEPS ESTIMACIONES'!D23</f>
        <v>371117.45755444176</v>
      </c>
      <c r="E21" s="507">
        <f>'IEPS INCREMENTO'!E23+'IEPS ESTIMACIONES'!E23</f>
        <v>164414.4057712307</v>
      </c>
      <c r="F21" s="507">
        <f>'IEPS INCREMENTO'!F23+'IEPS ESTIMACIONES'!F23</f>
        <v>157085.69858946069</v>
      </c>
      <c r="G21" s="507">
        <f>'IEPS INCREMENTO'!G23+'IEPS ESTIMACIONES'!G23</f>
        <v>167864.33884435511</v>
      </c>
      <c r="H21" s="507">
        <f>'IEPS INCREMENTO'!H23+'IEPS ESTIMACIONES'!H23</f>
        <v>201652.27360846009</v>
      </c>
      <c r="I21" s="507">
        <f>'IEPS INCREMENTO'!I23+'IEPS ESTIMACIONES'!I23</f>
        <v>187943.67338504555</v>
      </c>
      <c r="J21" s="507">
        <f>'IEPS INCREMENTO'!J23+'IEPS ESTIMACIONES'!J23</f>
        <v>207959.2027415339</v>
      </c>
      <c r="K21" s="507">
        <f>'IEPS INCREMENTO'!K23+'IEPS ESTIMACIONES'!K23</f>
        <v>209982.73318182357</v>
      </c>
      <c r="L21" s="507">
        <f>'IEPS INCREMENTO'!L23+'IEPS ESTIMACIONES'!L23</f>
        <v>254696.10257583568</v>
      </c>
      <c r="M21" s="507">
        <f>'IEPS INCREMENTO'!M23+'IEPS ESTIMACIONES'!M23</f>
        <v>199379.59595863402</v>
      </c>
      <c r="N21" s="507">
        <f>'IEPS INCREMENTO'!N23+'IEPS ESTIMACIONES'!N23</f>
        <v>201011.92442054767</v>
      </c>
      <c r="O21" s="508">
        <f t="shared" si="0"/>
        <v>2475837.9337499999</v>
      </c>
    </row>
    <row r="22" spans="1:15" ht="12.75" customHeight="1" x14ac:dyDescent="0.2">
      <c r="A22" s="505" t="s">
        <v>157</v>
      </c>
      <c r="B22" s="517"/>
      <c r="C22" s="507">
        <f>'IEPS INCREMENTO'!C24+'IEPS ESTIMACIONES'!C24</f>
        <v>99092.263365226972</v>
      </c>
      <c r="D22" s="507">
        <f>'IEPS INCREMENTO'!D24+'IEPS ESTIMACIONES'!D24</f>
        <v>289283.99393131951</v>
      </c>
      <c r="E22" s="507">
        <f>'IEPS INCREMENTO'!E24+'IEPS ESTIMACIONES'!E24</f>
        <v>108155.88423989393</v>
      </c>
      <c r="F22" s="507">
        <f>'IEPS INCREMENTO'!F24+'IEPS ESTIMACIONES'!F24</f>
        <v>93179.552323373166</v>
      </c>
      <c r="G22" s="507">
        <f>'IEPS INCREMENTO'!G24+'IEPS ESTIMACIONES'!G24</f>
        <v>106978.18897334674</v>
      </c>
      <c r="H22" s="507">
        <f>'IEPS INCREMENTO'!H24+'IEPS ESTIMACIONES'!H24</f>
        <v>137998.50266597385</v>
      </c>
      <c r="I22" s="507">
        <f>'IEPS INCREMENTO'!I24+'IEPS ESTIMACIONES'!I24</f>
        <v>123257.30708188206</v>
      </c>
      <c r="J22" s="507">
        <f>'IEPS INCREMENTO'!J24+'IEPS ESTIMACIONES'!J24</f>
        <v>140850.36359394476</v>
      </c>
      <c r="K22" s="507">
        <f>'IEPS INCREMENTO'!K24+'IEPS ESTIMACIONES'!K24</f>
        <v>145058.36767202319</v>
      </c>
      <c r="L22" s="507">
        <f>'IEPS INCREMENTO'!L24+'IEPS ESTIMACIONES'!L24</f>
        <v>191238.76475856057</v>
      </c>
      <c r="M22" s="507">
        <f>'IEPS INCREMENTO'!M24+'IEPS ESTIMACIONES'!M24</f>
        <v>137363.81193743873</v>
      </c>
      <c r="N22" s="507">
        <f>'IEPS INCREMENTO'!N24+'IEPS ESTIMACIONES'!N24</f>
        <v>138749.93320701626</v>
      </c>
      <c r="O22" s="508">
        <f t="shared" si="0"/>
        <v>1711206.9337499996</v>
      </c>
    </row>
    <row r="23" spans="1:15" ht="12.75" customHeight="1" x14ac:dyDescent="0.2">
      <c r="A23" s="505" t="s">
        <v>158</v>
      </c>
      <c r="B23" s="517"/>
      <c r="C23" s="507">
        <f>'IEPS INCREMENTO'!C25+'IEPS ESTIMACIONES'!C25</f>
        <v>148248.62367831991</v>
      </c>
      <c r="D23" s="507">
        <f>'IEPS INCREMENTO'!D25+'IEPS ESTIMACIONES'!D25</f>
        <v>364279.62097137765</v>
      </c>
      <c r="E23" s="507">
        <f>'IEPS INCREMENTO'!E25+'IEPS ESTIMACIONES'!E25</f>
        <v>159713.55895863922</v>
      </c>
      <c r="F23" s="507">
        <f>'IEPS INCREMENTO'!F25+'IEPS ESTIMACIONES'!F25</f>
        <v>151745.83192032669</v>
      </c>
      <c r="G23" s="507">
        <f>'IEPS INCREMENTO'!G25+'IEPS ESTIMACIONES'!G25</f>
        <v>162776.8168874784</v>
      </c>
      <c r="H23" s="507">
        <f>'IEPS INCREMENTO'!H25+'IEPS ESTIMACIONES'!H25</f>
        <v>196333.49490437092</v>
      </c>
      <c r="I23" s="507">
        <f>'IEPS INCREMENTO'!I25+'IEPS ESTIMACIONES'!I25</f>
        <v>182538.61312790785</v>
      </c>
      <c r="J23" s="507">
        <f>'IEPS INCREMENTO'!J25+'IEPS ESTIMACIONES'!J25</f>
        <v>202351.72561599407</v>
      </c>
      <c r="K23" s="507">
        <f>'IEPS INCREMENTO'!K25+'IEPS ESTIMACIONES'!K25</f>
        <v>204557.78619852487</v>
      </c>
      <c r="L23" s="507">
        <f>'IEPS INCREMENTO'!L25+'IEPS ESTIMACIONES'!L25</f>
        <v>249393.73742129246</v>
      </c>
      <c r="M23" s="507">
        <f>'IEPS INCREMENTO'!M25+'IEPS ESTIMACIONES'!M25</f>
        <v>194197.68408624304</v>
      </c>
      <c r="N23" s="507">
        <f>'IEPS INCREMENTO'!N25+'IEPS ESTIMACIONES'!N25</f>
        <v>195809.43997952482</v>
      </c>
      <c r="O23" s="508">
        <f t="shared" si="0"/>
        <v>2411946.9337499999</v>
      </c>
    </row>
    <row r="24" spans="1:15" ht="12.75" customHeight="1" thickBot="1" x14ac:dyDescent="0.25">
      <c r="A24" s="505" t="s">
        <v>159</v>
      </c>
      <c r="B24" s="518"/>
      <c r="C24" s="507">
        <f>'IEPS INCREMENTO'!C26+'IEPS ESTIMACIONES'!C26</f>
        <v>160248.5586959279</v>
      </c>
      <c r="D24" s="507">
        <f>'IEPS INCREMENTO'!D26+'IEPS ESTIMACIONES'!D26</f>
        <v>382587.3769840977</v>
      </c>
      <c r="E24" s="507">
        <f>'IEPS INCREMENTO'!E26+'IEPS ESTIMACIONES'!E26</f>
        <v>172299.69719880348</v>
      </c>
      <c r="F24" s="507">
        <f>'IEPS INCREMENTO'!F26+'IEPS ESTIMACIONES'!F26</f>
        <v>166042.89429252414</v>
      </c>
      <c r="G24" s="507">
        <f>'IEPS INCREMENTO'!G26+'IEPS ESTIMACIONES'!G26</f>
        <v>176398.24664298701</v>
      </c>
      <c r="H24" s="507">
        <f>'IEPS INCREMENTO'!H26+'IEPS ESTIMACIONES'!H26</f>
        <v>210574.09595080317</v>
      </c>
      <c r="I24" s="507">
        <f>'IEPS INCREMENTO'!I26+'IEPS ESTIMACIONES'!I26</f>
        <v>197010.22607443773</v>
      </c>
      <c r="J24" s="507">
        <f>'IEPS INCREMENTO'!J26+'IEPS ESTIMACIONES'!J26</f>
        <v>217365.29340372968</v>
      </c>
      <c r="K24" s="507">
        <f>'IEPS INCREMENTO'!K26+'IEPS ESTIMACIONES'!K26</f>
        <v>219082.64425058261</v>
      </c>
      <c r="L24" s="507">
        <f>'IEPS INCREMENTO'!L26+'IEPS ESTIMACIONES'!L26</f>
        <v>263590.39251248882</v>
      </c>
      <c r="M24" s="507">
        <f>'IEPS INCREMENTO'!M26+'IEPS ESTIMACIONES'!M26</f>
        <v>208071.83522845112</v>
      </c>
      <c r="N24" s="507">
        <f>'IEPS INCREMENTO'!N26+'IEPS ESTIMACIONES'!N26</f>
        <v>209738.6725151666</v>
      </c>
      <c r="O24" s="508">
        <f t="shared" si="0"/>
        <v>2583009.9337499999</v>
      </c>
    </row>
    <row r="25" spans="1:15" ht="13.5" thickBot="1" x14ac:dyDescent="0.25">
      <c r="A25" s="510" t="s">
        <v>264</v>
      </c>
      <c r="B25" s="511">
        <f>SUM(B5:B24)</f>
        <v>0</v>
      </c>
      <c r="C25" s="512">
        <f>SUM(C5:C24)</f>
        <v>3320633.1981846578</v>
      </c>
      <c r="D25" s="512">
        <f t="shared" ref="D25:O25" si="1">SUM(D5:D24)</f>
        <v>7828207.8385997387</v>
      </c>
      <c r="E25" s="512">
        <f t="shared" si="1"/>
        <v>3567306.1197848823</v>
      </c>
      <c r="F25" s="512">
        <f t="shared" si="1"/>
        <v>3458660.8966668444</v>
      </c>
      <c r="G25" s="512">
        <f t="shared" si="1"/>
        <v>3659255.8220694615</v>
      </c>
      <c r="H25" s="512">
        <f t="shared" si="1"/>
        <v>4348740.7242828794</v>
      </c>
      <c r="I25" s="512">
        <f t="shared" si="1"/>
        <v>4079689.9474794026</v>
      </c>
      <c r="J25" s="512">
        <f t="shared" si="1"/>
        <v>4492014.9551852979</v>
      </c>
      <c r="K25" s="512">
        <f t="shared" si="1"/>
        <v>4521651.5168387154</v>
      </c>
      <c r="L25" s="512">
        <f t="shared" si="1"/>
        <v>5408643.0800444409</v>
      </c>
      <c r="M25" s="512">
        <f t="shared" si="1"/>
        <v>4295163.462566209</v>
      </c>
      <c r="N25" s="512">
        <f t="shared" si="1"/>
        <v>4329031.1132974699</v>
      </c>
      <c r="O25" s="512">
        <f t="shared" si="1"/>
        <v>53308998.675000012</v>
      </c>
    </row>
    <row r="26" spans="1:15" hidden="1" x14ac:dyDescent="0.2">
      <c r="A26" s="521" t="s">
        <v>289</v>
      </c>
      <c r="B26" s="521"/>
      <c r="C26" s="522">
        <f>'[3]PRESUPUSTO ESTATAL 2017'!B52</f>
        <v>1521250.4468291907</v>
      </c>
      <c r="D26" s="522">
        <f>'[3]PRESUPUSTO ESTATAL 2017'!C52</f>
        <v>1992155.4322061262</v>
      </c>
      <c r="E26" s="522">
        <f>'[3]PRESUPUSTO ESTATAL 2017'!D52</f>
        <v>1561223.5204092669</v>
      </c>
      <c r="F26" s="522">
        <f>'[3]PRESUPUSTO ESTATAL 2017'!E52</f>
        <v>1709133.4840227321</v>
      </c>
      <c r="G26" s="522">
        <f>'[3]PRESUPUSTO ESTATAL 2017'!F52</f>
        <v>1794276.5472658337</v>
      </c>
      <c r="H26" s="522">
        <f>'[3]PRESUPUSTO ESTATAL 2017'!G52</f>
        <v>1664193.9164477964</v>
      </c>
      <c r="I26" s="522">
        <f>'[3]PRESUPUSTO ESTATAL 2017'!H52</f>
        <v>1722567.8942233375</v>
      </c>
      <c r="J26" s="522">
        <f>'[3]PRESUPUSTO ESTATAL 2017'!I52</f>
        <v>1774773.0179705636</v>
      </c>
      <c r="K26" s="522">
        <f>'[3]PRESUPUSTO ESTATAL 2017'!J52</f>
        <v>1814273.0193366187</v>
      </c>
      <c r="L26" s="522">
        <f>'[3]PRESUPUSTO ESTATAL 2017'!K52</f>
        <v>1772942.0603667807</v>
      </c>
      <c r="M26" s="522">
        <f>'[3]PRESUPUSTO ESTATAL 2017'!L52</f>
        <v>1696337.0334839264</v>
      </c>
      <c r="N26" s="522">
        <f>'[3]PRESUPUSTO ESTATAL 2017'!M52</f>
        <v>1676873.6274378267</v>
      </c>
      <c r="O26" s="522">
        <f>SUM(C26:N26)</f>
        <v>20700000</v>
      </c>
    </row>
    <row r="27" spans="1:15" hidden="1" x14ac:dyDescent="0.2">
      <c r="A27" s="523" t="s">
        <v>290</v>
      </c>
      <c r="B27" s="523"/>
      <c r="C27" s="524">
        <f>C26-C25</f>
        <v>-1799382.7513554671</v>
      </c>
      <c r="D27" s="524">
        <f t="shared" ref="D27:O27" si="2">D26-D25</f>
        <v>-5836052.4063936127</v>
      </c>
      <c r="E27" s="524">
        <f t="shared" si="2"/>
        <v>-2006082.5993756154</v>
      </c>
      <c r="F27" s="524">
        <f t="shared" si="2"/>
        <v>-1749527.4126441122</v>
      </c>
      <c r="G27" s="524">
        <f t="shared" si="2"/>
        <v>-1864979.2748036277</v>
      </c>
      <c r="H27" s="524">
        <f t="shared" si="2"/>
        <v>-2684546.807835083</v>
      </c>
      <c r="I27" s="524">
        <f t="shared" si="2"/>
        <v>-2357122.0532560651</v>
      </c>
      <c r="J27" s="524">
        <f t="shared" si="2"/>
        <v>-2717241.937214734</v>
      </c>
      <c r="K27" s="524">
        <f t="shared" si="2"/>
        <v>-2707378.4975020969</v>
      </c>
      <c r="L27" s="524">
        <f t="shared" si="2"/>
        <v>-3635701.0196776604</v>
      </c>
      <c r="M27" s="524">
        <f t="shared" si="2"/>
        <v>-2598826.4290822828</v>
      </c>
      <c r="N27" s="524">
        <f t="shared" si="2"/>
        <v>-2652157.4858596432</v>
      </c>
      <c r="O27" s="524">
        <f t="shared" si="2"/>
        <v>-32608998.675000012</v>
      </c>
    </row>
    <row r="28" spans="1:15" x14ac:dyDescent="0.2">
      <c r="A28" s="514" t="s">
        <v>265</v>
      </c>
    </row>
    <row r="29" spans="1:15" x14ac:dyDescent="0.2">
      <c r="A29" s="514"/>
    </row>
    <row r="32" spans="1:15" x14ac:dyDescent="0.2">
      <c r="C32" s="509"/>
      <c r="D32" s="509"/>
      <c r="E32" s="509"/>
      <c r="F32" s="509"/>
      <c r="G32" s="509"/>
      <c r="H32" s="509"/>
      <c r="I32" s="509"/>
      <c r="J32" s="509"/>
      <c r="K32" s="509"/>
      <c r="L32" s="509"/>
      <c r="M32" s="509"/>
      <c r="N32" s="509"/>
      <c r="O32" s="509"/>
    </row>
    <row r="36" spans="11:11" x14ac:dyDescent="0.2">
      <c r="K36" s="509"/>
    </row>
  </sheetData>
  <mergeCells count="2">
    <mergeCell ref="A1:O1"/>
    <mergeCell ref="A2:O2"/>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5" tint="0.59999389629810485"/>
  </sheetPr>
  <dimension ref="A1:P34"/>
  <sheetViews>
    <sheetView workbookViewId="0">
      <selection activeCell="C32" sqref="C32"/>
    </sheetView>
  </sheetViews>
  <sheetFormatPr baseColWidth="10" defaultRowHeight="12.75" x14ac:dyDescent="0.2"/>
  <cols>
    <col min="1" max="1" width="16" style="500" customWidth="1"/>
    <col min="2" max="2" width="9.42578125" style="500" bestFit="1" customWidth="1"/>
    <col min="3" max="14" width="12.7109375" style="500" bestFit="1" customWidth="1"/>
    <col min="15" max="15" width="14" style="500" bestFit="1" customWidth="1"/>
    <col min="16" max="16" width="13.7109375" style="500" bestFit="1" customWidth="1"/>
    <col min="17"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299</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42">
        <f>'CUADRO 7 FFM'!N8</f>
        <v>0</v>
      </c>
      <c r="C7" s="532">
        <f t="shared" ref="C7:C26" si="0">$C$31*B7/100</f>
        <v>0</v>
      </c>
      <c r="D7" s="533">
        <f t="shared" ref="D7:D11" si="1">$D$32*B7/100</f>
        <v>0</v>
      </c>
      <c r="E7" s="532">
        <f t="shared" ref="E7:E11" si="2">$E$32*B7/100</f>
        <v>0</v>
      </c>
      <c r="F7" s="533">
        <f t="shared" ref="F7:F11" si="3">$F$32*B7/100</f>
        <v>0</v>
      </c>
      <c r="G7" s="532">
        <f t="shared" ref="G7:G11" si="4">$G$32*B7/100</f>
        <v>0</v>
      </c>
      <c r="H7" s="532">
        <f t="shared" ref="H7:H11" si="5">$H$32*B7/100</f>
        <v>0</v>
      </c>
      <c r="I7" s="532">
        <f t="shared" ref="I7:I11" si="6">$I$32*B7/100</f>
        <v>0</v>
      </c>
      <c r="J7" s="533">
        <f t="shared" ref="J7:J11" si="7">$J$32*B7/100</f>
        <v>0</v>
      </c>
      <c r="K7" s="532">
        <f t="shared" ref="K7:K11" si="8">$K$32*B7/100</f>
        <v>0</v>
      </c>
      <c r="L7" s="533">
        <f t="shared" ref="L7:L11" si="9">$L$32*B7/100</f>
        <v>0</v>
      </c>
      <c r="M7" s="532">
        <f t="shared" ref="M7:M11" si="10">$M$32*B7/100</f>
        <v>0</v>
      </c>
      <c r="N7" s="532">
        <f t="shared" ref="N7:N11" si="11">$N$32*B7/100</f>
        <v>0</v>
      </c>
      <c r="O7" s="535">
        <f t="shared" ref="O7:O27" si="12">SUM(C7:N7)</f>
        <v>0</v>
      </c>
    </row>
    <row r="8" spans="1:15" x14ac:dyDescent="0.2">
      <c r="A8" s="505" t="s">
        <v>141</v>
      </c>
      <c r="B8" s="542">
        <f>'CUADRO 7 FFM'!N9</f>
        <v>0</v>
      </c>
      <c r="C8" s="532">
        <f t="shared" si="0"/>
        <v>0</v>
      </c>
      <c r="D8" s="533">
        <f t="shared" si="1"/>
        <v>0</v>
      </c>
      <c r="E8" s="532">
        <f t="shared" si="2"/>
        <v>0</v>
      </c>
      <c r="F8" s="533">
        <f t="shared" si="3"/>
        <v>0</v>
      </c>
      <c r="G8" s="532">
        <f t="shared" si="4"/>
        <v>0</v>
      </c>
      <c r="H8" s="532">
        <f t="shared" si="5"/>
        <v>0</v>
      </c>
      <c r="I8" s="532">
        <f t="shared" si="6"/>
        <v>0</v>
      </c>
      <c r="J8" s="533">
        <f t="shared" si="7"/>
        <v>0</v>
      </c>
      <c r="K8" s="532">
        <f t="shared" si="8"/>
        <v>0</v>
      </c>
      <c r="L8" s="533">
        <f t="shared" si="9"/>
        <v>0</v>
      </c>
      <c r="M8" s="532">
        <f t="shared" si="10"/>
        <v>0</v>
      </c>
      <c r="N8" s="532">
        <f t="shared" si="11"/>
        <v>0</v>
      </c>
      <c r="O8" s="535">
        <f t="shared" si="12"/>
        <v>0</v>
      </c>
    </row>
    <row r="9" spans="1:15" x14ac:dyDescent="0.2">
      <c r="A9" s="505" t="s">
        <v>142</v>
      </c>
      <c r="B9" s="542">
        <f>'CUADRO 7 FFM'!N10</f>
        <v>0</v>
      </c>
      <c r="C9" s="532">
        <f t="shared" si="0"/>
        <v>0</v>
      </c>
      <c r="D9" s="533">
        <f t="shared" si="1"/>
        <v>0</v>
      </c>
      <c r="E9" s="532">
        <f t="shared" si="2"/>
        <v>0</v>
      </c>
      <c r="F9" s="533">
        <f t="shared" si="3"/>
        <v>0</v>
      </c>
      <c r="G9" s="532">
        <f t="shared" si="4"/>
        <v>0</v>
      </c>
      <c r="H9" s="532">
        <f t="shared" si="5"/>
        <v>0</v>
      </c>
      <c r="I9" s="532">
        <f t="shared" si="6"/>
        <v>0</v>
      </c>
      <c r="J9" s="533">
        <f t="shared" si="7"/>
        <v>0</v>
      </c>
      <c r="K9" s="532">
        <f t="shared" si="8"/>
        <v>0</v>
      </c>
      <c r="L9" s="533">
        <f t="shared" si="9"/>
        <v>0</v>
      </c>
      <c r="M9" s="532">
        <f t="shared" si="10"/>
        <v>0</v>
      </c>
      <c r="N9" s="532">
        <f t="shared" si="11"/>
        <v>0</v>
      </c>
      <c r="O9" s="535">
        <f t="shared" si="12"/>
        <v>0</v>
      </c>
    </row>
    <row r="10" spans="1:15" x14ac:dyDescent="0.2">
      <c r="A10" s="505" t="s">
        <v>259</v>
      </c>
      <c r="B10" s="542">
        <f>'CUADRO 7 FFM'!N11</f>
        <v>0</v>
      </c>
      <c r="C10" s="532">
        <f t="shared" si="0"/>
        <v>0</v>
      </c>
      <c r="D10" s="533">
        <f t="shared" si="1"/>
        <v>0</v>
      </c>
      <c r="E10" s="532">
        <f t="shared" si="2"/>
        <v>0</v>
      </c>
      <c r="F10" s="533">
        <f t="shared" si="3"/>
        <v>0</v>
      </c>
      <c r="G10" s="532">
        <f t="shared" si="4"/>
        <v>0</v>
      </c>
      <c r="H10" s="532">
        <f t="shared" si="5"/>
        <v>0</v>
      </c>
      <c r="I10" s="532">
        <f t="shared" si="6"/>
        <v>0</v>
      </c>
      <c r="J10" s="533">
        <f t="shared" si="7"/>
        <v>0</v>
      </c>
      <c r="K10" s="532">
        <f t="shared" si="8"/>
        <v>0</v>
      </c>
      <c r="L10" s="533">
        <f t="shared" si="9"/>
        <v>0</v>
      </c>
      <c r="M10" s="532">
        <f t="shared" si="10"/>
        <v>0</v>
      </c>
      <c r="N10" s="532">
        <f t="shared" si="11"/>
        <v>0</v>
      </c>
      <c r="O10" s="535">
        <f t="shared" si="12"/>
        <v>0</v>
      </c>
    </row>
    <row r="11" spans="1:15" x14ac:dyDescent="0.2">
      <c r="A11" s="505" t="s">
        <v>144</v>
      </c>
      <c r="B11" s="542">
        <f>'CUADRO 7 FFM'!N12</f>
        <v>0</v>
      </c>
      <c r="C11" s="532">
        <f t="shared" si="0"/>
        <v>0</v>
      </c>
      <c r="D11" s="533">
        <f t="shared" si="1"/>
        <v>0</v>
      </c>
      <c r="E11" s="532">
        <f t="shared" si="2"/>
        <v>0</v>
      </c>
      <c r="F11" s="533">
        <f t="shared" si="3"/>
        <v>0</v>
      </c>
      <c r="G11" s="532">
        <f t="shared" si="4"/>
        <v>0</v>
      </c>
      <c r="H11" s="532">
        <f t="shared" si="5"/>
        <v>0</v>
      </c>
      <c r="I11" s="532">
        <f t="shared" si="6"/>
        <v>0</v>
      </c>
      <c r="J11" s="533">
        <f t="shared" si="7"/>
        <v>0</v>
      </c>
      <c r="K11" s="532">
        <f t="shared" si="8"/>
        <v>0</v>
      </c>
      <c r="L11" s="533">
        <f t="shared" si="9"/>
        <v>0</v>
      </c>
      <c r="M11" s="532">
        <f t="shared" si="10"/>
        <v>0</v>
      </c>
      <c r="N11" s="532">
        <f t="shared" si="11"/>
        <v>0</v>
      </c>
      <c r="O11" s="535">
        <f t="shared" si="12"/>
        <v>0</v>
      </c>
    </row>
    <row r="12" spans="1:15" x14ac:dyDescent="0.2">
      <c r="A12" s="505" t="s">
        <v>260</v>
      </c>
      <c r="B12" s="542">
        <f>'CUADRO 7 FFM'!N13</f>
        <v>0.62189878463316728</v>
      </c>
      <c r="C12" s="532">
        <f>$C$34*B12/100</f>
        <v>26589.173089104661</v>
      </c>
      <c r="D12" s="533">
        <f>$D$34*B12/100</f>
        <v>49260.156465975204</v>
      </c>
      <c r="E12" s="532">
        <f>$E$34*B12/100</f>
        <v>28991.218424828978</v>
      </c>
      <c r="F12" s="533">
        <f>$F$34*B12/100</f>
        <v>63661.153061473444</v>
      </c>
      <c r="G12" s="532">
        <f>$G$34*B12/100</f>
        <v>52564.551930548791</v>
      </c>
      <c r="H12" s="532">
        <f>$H$34*B12/100</f>
        <v>50857.630449010088</v>
      </c>
      <c r="I12" s="532">
        <f>$I$34*B12/100</f>
        <v>29903.38466755753</v>
      </c>
      <c r="J12" s="533">
        <f>$J$34*B12/100</f>
        <v>45086.617787108524</v>
      </c>
      <c r="K12" s="532">
        <f>$K$34*B12/100</f>
        <v>29698.677830124336</v>
      </c>
      <c r="L12" s="533">
        <f>$L$34*B12/100</f>
        <v>15526.487077010297</v>
      </c>
      <c r="M12" s="532">
        <f>$M$34*B12/100</f>
        <v>34300.225857431222</v>
      </c>
      <c r="N12" s="532">
        <f>$N$34*B12/100</f>
        <v>29634.740041181838</v>
      </c>
      <c r="O12" s="535">
        <f t="shared" si="12"/>
        <v>456074.01668135496</v>
      </c>
    </row>
    <row r="13" spans="1:15" x14ac:dyDescent="0.2">
      <c r="A13" s="505" t="s">
        <v>146</v>
      </c>
      <c r="B13" s="542">
        <f>'CUADRO 7 FFM'!N14</f>
        <v>8.9309941480605573E-2</v>
      </c>
      <c r="C13" s="532">
        <f t="shared" ref="C13:C25" si="13">$C$34*B13/100</f>
        <v>3818.4308303582798</v>
      </c>
      <c r="D13" s="533">
        <f t="shared" ref="D13:D26" si="14">$D$34*B13/100</f>
        <v>7074.1763772649256</v>
      </c>
      <c r="E13" s="532">
        <f t="shared" ref="E13:E26" si="15">$E$34*B13/100</f>
        <v>4163.3849188179329</v>
      </c>
      <c r="F13" s="533">
        <f t="shared" ref="F13:F26" si="16">$F$34*B13/100</f>
        <v>9142.2816622189657</v>
      </c>
      <c r="G13" s="532">
        <f t="shared" ref="G13:G26" si="17">$G$34*B13/100</f>
        <v>7548.7155995017438</v>
      </c>
      <c r="H13" s="532">
        <f t="shared" ref="H13:H26" si="18">$H$34*B13/100</f>
        <v>7303.5871937304873</v>
      </c>
      <c r="I13" s="532">
        <f t="shared" ref="I13:I26" si="19">$I$34*B13/100</f>
        <v>4294.3797298251993</v>
      </c>
      <c r="J13" s="533">
        <f t="shared" ref="J13:J26" si="20">$J$34*B13/100</f>
        <v>6474.8208158989546</v>
      </c>
      <c r="K13" s="532">
        <f t="shared" ref="K13:K26" si="21">$K$34*B13/100</f>
        <v>4264.9820912968944</v>
      </c>
      <c r="L13" s="533">
        <f t="shared" ref="L13:L26" si="22">$L$34*B13/100</f>
        <v>2229.7352664310288</v>
      </c>
      <c r="M13" s="532">
        <f t="shared" ref="M13:M26" si="23">$M$34*B13/100</f>
        <v>4925.8034262049296</v>
      </c>
      <c r="N13" s="532">
        <f t="shared" ref="N13:N26" si="24">$N$34*B13/100</f>
        <v>4255.8000823752618</v>
      </c>
      <c r="O13" s="535">
        <f t="shared" si="12"/>
        <v>65496.09799392461</v>
      </c>
    </row>
    <row r="14" spans="1:15" x14ac:dyDescent="0.2">
      <c r="A14" s="505" t="s">
        <v>147</v>
      </c>
      <c r="B14" s="542">
        <f>'CUADRO 7 FFM'!N15</f>
        <v>0</v>
      </c>
      <c r="C14" s="532">
        <f t="shared" si="13"/>
        <v>0</v>
      </c>
      <c r="D14" s="533">
        <f t="shared" si="14"/>
        <v>0</v>
      </c>
      <c r="E14" s="532">
        <f t="shared" si="15"/>
        <v>0</v>
      </c>
      <c r="F14" s="533">
        <f t="shared" si="16"/>
        <v>0</v>
      </c>
      <c r="G14" s="532">
        <f t="shared" si="17"/>
        <v>0</v>
      </c>
      <c r="H14" s="532">
        <f t="shared" si="18"/>
        <v>0</v>
      </c>
      <c r="I14" s="532">
        <f t="shared" si="19"/>
        <v>0</v>
      </c>
      <c r="J14" s="533">
        <f t="shared" si="20"/>
        <v>0</v>
      </c>
      <c r="K14" s="532">
        <f t="shared" si="21"/>
        <v>0</v>
      </c>
      <c r="L14" s="533">
        <f t="shared" si="22"/>
        <v>0</v>
      </c>
      <c r="M14" s="532">
        <f t="shared" si="23"/>
        <v>0</v>
      </c>
      <c r="N14" s="532">
        <f t="shared" si="24"/>
        <v>0</v>
      </c>
      <c r="O14" s="535">
        <f t="shared" si="12"/>
        <v>0</v>
      </c>
    </row>
    <row r="15" spans="1:15" x14ac:dyDescent="0.2">
      <c r="A15" s="505" t="s">
        <v>148</v>
      </c>
      <c r="B15" s="542">
        <f>'CUADRO 7 FFM'!N16</f>
        <v>0</v>
      </c>
      <c r="C15" s="532">
        <f t="shared" si="13"/>
        <v>0</v>
      </c>
      <c r="D15" s="533">
        <f t="shared" si="14"/>
        <v>0</v>
      </c>
      <c r="E15" s="532">
        <f t="shared" si="15"/>
        <v>0</v>
      </c>
      <c r="F15" s="533">
        <f t="shared" si="16"/>
        <v>0</v>
      </c>
      <c r="G15" s="532">
        <f t="shared" si="17"/>
        <v>0</v>
      </c>
      <c r="H15" s="532">
        <f t="shared" si="18"/>
        <v>0</v>
      </c>
      <c r="I15" s="532">
        <f t="shared" si="19"/>
        <v>0</v>
      </c>
      <c r="J15" s="533">
        <f t="shared" si="20"/>
        <v>0</v>
      </c>
      <c r="K15" s="532">
        <f t="shared" si="21"/>
        <v>0</v>
      </c>
      <c r="L15" s="533">
        <f t="shared" si="22"/>
        <v>0</v>
      </c>
      <c r="M15" s="532">
        <f t="shared" si="23"/>
        <v>0</v>
      </c>
      <c r="N15" s="532">
        <f t="shared" si="24"/>
        <v>0</v>
      </c>
      <c r="O15" s="535">
        <f t="shared" si="12"/>
        <v>0</v>
      </c>
    </row>
    <row r="16" spans="1:15" x14ac:dyDescent="0.2">
      <c r="A16" s="505" t="s">
        <v>149</v>
      </c>
      <c r="B16" s="542">
        <f>'CUADRO 7 FFM'!N17</f>
        <v>0</v>
      </c>
      <c r="C16" s="532">
        <f t="shared" si="13"/>
        <v>0</v>
      </c>
      <c r="D16" s="533">
        <f t="shared" si="14"/>
        <v>0</v>
      </c>
      <c r="E16" s="532">
        <f t="shared" si="15"/>
        <v>0</v>
      </c>
      <c r="F16" s="533">
        <f t="shared" si="16"/>
        <v>0</v>
      </c>
      <c r="G16" s="532">
        <f t="shared" si="17"/>
        <v>0</v>
      </c>
      <c r="H16" s="532">
        <f t="shared" si="18"/>
        <v>0</v>
      </c>
      <c r="I16" s="532">
        <f t="shared" si="19"/>
        <v>0</v>
      </c>
      <c r="J16" s="533">
        <f t="shared" si="20"/>
        <v>0</v>
      </c>
      <c r="K16" s="532">
        <f t="shared" si="21"/>
        <v>0</v>
      </c>
      <c r="L16" s="533">
        <f t="shared" si="22"/>
        <v>0</v>
      </c>
      <c r="M16" s="532">
        <f t="shared" si="23"/>
        <v>0</v>
      </c>
      <c r="N16" s="532">
        <f t="shared" si="24"/>
        <v>0</v>
      </c>
      <c r="O16" s="535">
        <f t="shared" si="12"/>
        <v>0</v>
      </c>
    </row>
    <row r="17" spans="1:16" x14ac:dyDescent="0.2">
      <c r="A17" s="505" t="s">
        <v>150</v>
      </c>
      <c r="B17" s="542">
        <f>'CUADRO 7 FFM'!N18</f>
        <v>17.2202688323631</v>
      </c>
      <c r="C17" s="532">
        <f t="shared" si="13"/>
        <v>736249.56333480717</v>
      </c>
      <c r="D17" s="533">
        <f t="shared" si="14"/>
        <v>1364005.1372165394</v>
      </c>
      <c r="E17" s="532">
        <f t="shared" si="15"/>
        <v>802761.77955194516</v>
      </c>
      <c r="F17" s="533">
        <f t="shared" si="16"/>
        <v>1762766.2201389063</v>
      </c>
      <c r="G17" s="532">
        <f t="shared" si="17"/>
        <v>1455503.2710518755</v>
      </c>
      <c r="H17" s="532">
        <f t="shared" si="18"/>
        <v>1408238.9130660819</v>
      </c>
      <c r="I17" s="532">
        <f t="shared" si="19"/>
        <v>828019.50365066261</v>
      </c>
      <c r="J17" s="533">
        <f t="shared" si="20"/>
        <v>1248440.5794328437</v>
      </c>
      <c r="K17" s="532">
        <f t="shared" si="21"/>
        <v>822351.20704110782</v>
      </c>
      <c r="L17" s="533">
        <f t="shared" si="22"/>
        <v>429925.71797039243</v>
      </c>
      <c r="M17" s="532">
        <f t="shared" si="23"/>
        <v>949767.26900044282</v>
      </c>
      <c r="N17" s="532">
        <f t="shared" si="24"/>
        <v>820580.78082169313</v>
      </c>
      <c r="O17" s="535">
        <f t="shared" si="12"/>
        <v>12628609.942277297</v>
      </c>
    </row>
    <row r="18" spans="1:16" x14ac:dyDescent="0.2">
      <c r="A18" s="505" t="s">
        <v>151</v>
      </c>
      <c r="B18" s="542">
        <f>'CUADRO 7 FFM'!N19</f>
        <v>0</v>
      </c>
      <c r="C18" s="532">
        <f t="shared" si="13"/>
        <v>0</v>
      </c>
      <c r="D18" s="533">
        <f t="shared" si="14"/>
        <v>0</v>
      </c>
      <c r="E18" s="532">
        <f t="shared" si="15"/>
        <v>0</v>
      </c>
      <c r="F18" s="533">
        <f t="shared" si="16"/>
        <v>0</v>
      </c>
      <c r="G18" s="532">
        <f t="shared" si="17"/>
        <v>0</v>
      </c>
      <c r="H18" s="532">
        <f t="shared" si="18"/>
        <v>0</v>
      </c>
      <c r="I18" s="532">
        <f t="shared" si="19"/>
        <v>0</v>
      </c>
      <c r="J18" s="533">
        <f t="shared" si="20"/>
        <v>0</v>
      </c>
      <c r="K18" s="532">
        <f t="shared" si="21"/>
        <v>0</v>
      </c>
      <c r="L18" s="533">
        <f t="shared" si="22"/>
        <v>0</v>
      </c>
      <c r="M18" s="532">
        <f t="shared" si="23"/>
        <v>0</v>
      </c>
      <c r="N18" s="532">
        <f t="shared" si="24"/>
        <v>0</v>
      </c>
      <c r="O18" s="535">
        <f t="shared" si="12"/>
        <v>0</v>
      </c>
    </row>
    <row r="19" spans="1:16" x14ac:dyDescent="0.2">
      <c r="A19" s="505" t="s">
        <v>152</v>
      </c>
      <c r="B19" s="542">
        <f>'CUADRO 7 FFM'!N20</f>
        <v>0</v>
      </c>
      <c r="C19" s="532">
        <f t="shared" si="13"/>
        <v>0</v>
      </c>
      <c r="D19" s="533">
        <f t="shared" si="14"/>
        <v>0</v>
      </c>
      <c r="E19" s="532">
        <f t="shared" si="15"/>
        <v>0</v>
      </c>
      <c r="F19" s="533">
        <f t="shared" si="16"/>
        <v>0</v>
      </c>
      <c r="G19" s="532">
        <f t="shared" si="17"/>
        <v>0</v>
      </c>
      <c r="H19" s="532">
        <f t="shared" si="18"/>
        <v>0</v>
      </c>
      <c r="I19" s="532">
        <f t="shared" si="19"/>
        <v>0</v>
      </c>
      <c r="J19" s="533">
        <f t="shared" si="20"/>
        <v>0</v>
      </c>
      <c r="K19" s="532">
        <f t="shared" si="21"/>
        <v>0</v>
      </c>
      <c r="L19" s="533">
        <f t="shared" si="22"/>
        <v>0</v>
      </c>
      <c r="M19" s="532">
        <f t="shared" si="23"/>
        <v>0</v>
      </c>
      <c r="N19" s="532">
        <f t="shared" si="24"/>
        <v>0</v>
      </c>
      <c r="O19" s="535">
        <f t="shared" si="12"/>
        <v>0</v>
      </c>
    </row>
    <row r="20" spans="1:16" x14ac:dyDescent="0.2">
      <c r="A20" s="505" t="s">
        <v>261</v>
      </c>
      <c r="B20" s="542">
        <f>'CUADRO 7 FFM'!N21</f>
        <v>0</v>
      </c>
      <c r="C20" s="532">
        <f t="shared" si="13"/>
        <v>0</v>
      </c>
      <c r="D20" s="533">
        <f t="shared" si="14"/>
        <v>0</v>
      </c>
      <c r="E20" s="532">
        <f t="shared" si="15"/>
        <v>0</v>
      </c>
      <c r="F20" s="533">
        <f t="shared" si="16"/>
        <v>0</v>
      </c>
      <c r="G20" s="532">
        <f t="shared" si="17"/>
        <v>0</v>
      </c>
      <c r="H20" s="532">
        <f t="shared" si="18"/>
        <v>0</v>
      </c>
      <c r="I20" s="532">
        <f t="shared" si="19"/>
        <v>0</v>
      </c>
      <c r="J20" s="533">
        <f t="shared" si="20"/>
        <v>0</v>
      </c>
      <c r="K20" s="532">
        <f t="shared" si="21"/>
        <v>0</v>
      </c>
      <c r="L20" s="533">
        <f t="shared" si="22"/>
        <v>0</v>
      </c>
      <c r="M20" s="532">
        <f t="shared" si="23"/>
        <v>0</v>
      </c>
      <c r="N20" s="532">
        <f t="shared" si="24"/>
        <v>0</v>
      </c>
      <c r="O20" s="535">
        <f t="shared" si="12"/>
        <v>0</v>
      </c>
    </row>
    <row r="21" spans="1:16" x14ac:dyDescent="0.2">
      <c r="A21" s="505" t="s">
        <v>262</v>
      </c>
      <c r="B21" s="542">
        <f>'CUADRO 7 FFM'!N22</f>
        <v>0</v>
      </c>
      <c r="C21" s="532">
        <f t="shared" si="13"/>
        <v>0</v>
      </c>
      <c r="D21" s="533">
        <f t="shared" si="14"/>
        <v>0</v>
      </c>
      <c r="E21" s="532">
        <f t="shared" si="15"/>
        <v>0</v>
      </c>
      <c r="F21" s="533">
        <f t="shared" si="16"/>
        <v>0</v>
      </c>
      <c r="G21" s="532">
        <f t="shared" si="17"/>
        <v>0</v>
      </c>
      <c r="H21" s="532">
        <f t="shared" si="18"/>
        <v>0</v>
      </c>
      <c r="I21" s="532">
        <f t="shared" si="19"/>
        <v>0</v>
      </c>
      <c r="J21" s="533">
        <f t="shared" si="20"/>
        <v>0</v>
      </c>
      <c r="K21" s="532">
        <f t="shared" si="21"/>
        <v>0</v>
      </c>
      <c r="L21" s="533">
        <f t="shared" si="22"/>
        <v>0</v>
      </c>
      <c r="M21" s="532">
        <f t="shared" si="23"/>
        <v>0</v>
      </c>
      <c r="N21" s="532">
        <f t="shared" si="24"/>
        <v>0</v>
      </c>
      <c r="O21" s="535">
        <f t="shared" si="12"/>
        <v>0</v>
      </c>
    </row>
    <row r="22" spans="1:16" x14ac:dyDescent="0.2">
      <c r="A22" s="505" t="s">
        <v>263</v>
      </c>
      <c r="B22" s="542">
        <f>'CUADRO 7 FFM'!N23</f>
        <v>61.447366419041479</v>
      </c>
      <c r="C22" s="532">
        <f t="shared" si="13"/>
        <v>2627171.3371320763</v>
      </c>
      <c r="D22" s="533">
        <f t="shared" si="14"/>
        <v>4867201.8003854807</v>
      </c>
      <c r="E22" s="532">
        <f t="shared" si="15"/>
        <v>2864507.964162895</v>
      </c>
      <c r="F22" s="533">
        <f t="shared" si="16"/>
        <v>6290107.4828992644</v>
      </c>
      <c r="G22" s="532">
        <f t="shared" si="17"/>
        <v>5193696.0851827087</v>
      </c>
      <c r="H22" s="532">
        <f t="shared" si="18"/>
        <v>5025041.9049264966</v>
      </c>
      <c r="I22" s="532">
        <f t="shared" si="19"/>
        <v>2954635.5134313558</v>
      </c>
      <c r="J22" s="533">
        <f t="shared" si="20"/>
        <v>4454830.9020959232</v>
      </c>
      <c r="K22" s="532">
        <f t="shared" si="21"/>
        <v>2934409.2380967606</v>
      </c>
      <c r="L22" s="533">
        <f t="shared" si="22"/>
        <v>1534110.9585610882</v>
      </c>
      <c r="M22" s="532">
        <f t="shared" si="23"/>
        <v>3389070.0522283209</v>
      </c>
      <c r="N22" s="532">
        <f t="shared" si="24"/>
        <v>2928091.7973133852</v>
      </c>
      <c r="O22" s="535">
        <f t="shared" si="12"/>
        <v>45062875.036415756</v>
      </c>
    </row>
    <row r="23" spans="1:16" x14ac:dyDescent="0.2">
      <c r="A23" s="505" t="s">
        <v>156</v>
      </c>
      <c r="B23" s="542">
        <f>'CUADRO 7 FFM'!N24</f>
        <v>0</v>
      </c>
      <c r="C23" s="532">
        <f t="shared" si="13"/>
        <v>0</v>
      </c>
      <c r="D23" s="533">
        <f t="shared" si="14"/>
        <v>0</v>
      </c>
      <c r="E23" s="532">
        <f t="shared" si="15"/>
        <v>0</v>
      </c>
      <c r="F23" s="533">
        <f t="shared" si="16"/>
        <v>0</v>
      </c>
      <c r="G23" s="532">
        <f t="shared" si="17"/>
        <v>0</v>
      </c>
      <c r="H23" s="532">
        <f t="shared" si="18"/>
        <v>0</v>
      </c>
      <c r="I23" s="532">
        <f t="shared" si="19"/>
        <v>0</v>
      </c>
      <c r="J23" s="533">
        <f t="shared" si="20"/>
        <v>0</v>
      </c>
      <c r="K23" s="532">
        <f t="shared" si="21"/>
        <v>0</v>
      </c>
      <c r="L23" s="533">
        <f t="shared" si="22"/>
        <v>0</v>
      </c>
      <c r="M23" s="532">
        <f t="shared" si="23"/>
        <v>0</v>
      </c>
      <c r="N23" s="532">
        <f t="shared" si="24"/>
        <v>0</v>
      </c>
      <c r="O23" s="535">
        <f t="shared" si="12"/>
        <v>0</v>
      </c>
    </row>
    <row r="24" spans="1:16" x14ac:dyDescent="0.2">
      <c r="A24" s="505" t="s">
        <v>157</v>
      </c>
      <c r="B24" s="542">
        <f>'CUADRO 7 FFM'!N25</f>
        <v>0</v>
      </c>
      <c r="C24" s="532">
        <f t="shared" si="13"/>
        <v>0</v>
      </c>
      <c r="D24" s="533">
        <f t="shared" si="14"/>
        <v>0</v>
      </c>
      <c r="E24" s="532">
        <f t="shared" si="15"/>
        <v>0</v>
      </c>
      <c r="F24" s="533">
        <f t="shared" si="16"/>
        <v>0</v>
      </c>
      <c r="G24" s="532">
        <f t="shared" si="17"/>
        <v>0</v>
      </c>
      <c r="H24" s="532">
        <f t="shared" si="18"/>
        <v>0</v>
      </c>
      <c r="I24" s="532">
        <f t="shared" si="19"/>
        <v>0</v>
      </c>
      <c r="J24" s="533">
        <f t="shared" si="20"/>
        <v>0</v>
      </c>
      <c r="K24" s="532">
        <f t="shared" si="21"/>
        <v>0</v>
      </c>
      <c r="L24" s="533">
        <f t="shared" si="22"/>
        <v>0</v>
      </c>
      <c r="M24" s="532">
        <f t="shared" si="23"/>
        <v>0</v>
      </c>
      <c r="N24" s="532">
        <f t="shared" si="24"/>
        <v>0</v>
      </c>
      <c r="O24" s="535">
        <f t="shared" si="12"/>
        <v>0</v>
      </c>
    </row>
    <row r="25" spans="1:16" x14ac:dyDescent="0.2">
      <c r="A25" s="505" t="s">
        <v>158</v>
      </c>
      <c r="B25" s="542">
        <f>'CUADRO 7 FFM'!N26</f>
        <v>20.621156022481646</v>
      </c>
      <c r="C25" s="532">
        <f t="shared" si="13"/>
        <v>881653.89662663033</v>
      </c>
      <c r="D25" s="533">
        <f t="shared" si="14"/>
        <v>1633386.9711224998</v>
      </c>
      <c r="E25" s="532">
        <f t="shared" si="15"/>
        <v>961301.82787361438</v>
      </c>
      <c r="F25" s="533">
        <f t="shared" si="16"/>
        <v>2110900.6839852189</v>
      </c>
      <c r="G25" s="532">
        <f t="shared" si="17"/>
        <v>1742955.3705448362</v>
      </c>
      <c r="H25" s="532">
        <f t="shared" si="18"/>
        <v>1686356.6199785406</v>
      </c>
      <c r="I25" s="532">
        <f t="shared" si="19"/>
        <v>991547.78247994394</v>
      </c>
      <c r="J25" s="533">
        <f t="shared" si="20"/>
        <v>1494999.1910056162</v>
      </c>
      <c r="K25" s="532">
        <f t="shared" si="21"/>
        <v>984760.03544154344</v>
      </c>
      <c r="L25" s="533">
        <f t="shared" si="22"/>
        <v>514833.15357326507</v>
      </c>
      <c r="M25" s="532">
        <f t="shared" si="23"/>
        <v>1137339.9120399666</v>
      </c>
      <c r="N25" s="532">
        <f t="shared" si="24"/>
        <v>982639.96195998241</v>
      </c>
      <c r="O25" s="535">
        <f t="shared" si="12"/>
        <v>15122675.406631658</v>
      </c>
    </row>
    <row r="26" spans="1:16" ht="13.5" thickBot="1" x14ac:dyDescent="0.25">
      <c r="A26" s="505" t="s">
        <v>159</v>
      </c>
      <c r="B26" s="542">
        <f>'CUADRO 7 FFM'!N27</f>
        <v>0</v>
      </c>
      <c r="C26" s="532">
        <f t="shared" si="0"/>
        <v>0</v>
      </c>
      <c r="D26" s="533">
        <f t="shared" si="14"/>
        <v>0</v>
      </c>
      <c r="E26" s="532">
        <f t="shared" si="15"/>
        <v>0</v>
      </c>
      <c r="F26" s="533">
        <f t="shared" si="16"/>
        <v>0</v>
      </c>
      <c r="G26" s="532">
        <f t="shared" si="17"/>
        <v>0</v>
      </c>
      <c r="H26" s="532">
        <f t="shared" si="18"/>
        <v>0</v>
      </c>
      <c r="I26" s="532">
        <f t="shared" si="19"/>
        <v>0</v>
      </c>
      <c r="J26" s="533">
        <f t="shared" si="20"/>
        <v>0</v>
      </c>
      <c r="K26" s="532">
        <f t="shared" si="21"/>
        <v>0</v>
      </c>
      <c r="L26" s="533">
        <f t="shared" si="22"/>
        <v>0</v>
      </c>
      <c r="M26" s="532">
        <f t="shared" si="23"/>
        <v>0</v>
      </c>
      <c r="N26" s="532">
        <f t="shared" si="24"/>
        <v>0</v>
      </c>
      <c r="O26" s="535">
        <f t="shared" si="12"/>
        <v>0</v>
      </c>
    </row>
    <row r="27" spans="1:16" ht="13.5" thickBot="1" x14ac:dyDescent="0.25">
      <c r="A27" s="510" t="s">
        <v>264</v>
      </c>
      <c r="B27" s="544">
        <f>SUM(B7:B26)</f>
        <v>100</v>
      </c>
      <c r="C27" s="540">
        <f t="shared" ref="C27:N27" si="25">SUM(C7:C26)</f>
        <v>4275482.4010129767</v>
      </c>
      <c r="D27" s="540">
        <f t="shared" si="25"/>
        <v>7920928.2415677598</v>
      </c>
      <c r="E27" s="540">
        <f t="shared" si="25"/>
        <v>4661726.1749321017</v>
      </c>
      <c r="F27" s="540">
        <f t="shared" si="25"/>
        <v>10236577.821747081</v>
      </c>
      <c r="G27" s="540">
        <f t="shared" si="25"/>
        <v>8452267.9943094719</v>
      </c>
      <c r="H27" s="540">
        <f t="shared" si="25"/>
        <v>8177798.6556138592</v>
      </c>
      <c r="I27" s="540">
        <f t="shared" si="25"/>
        <v>4808400.5639593452</v>
      </c>
      <c r="J27" s="540">
        <f t="shared" si="25"/>
        <v>7249832.1111373911</v>
      </c>
      <c r="K27" s="540">
        <f t="shared" si="25"/>
        <v>4775484.1405008323</v>
      </c>
      <c r="L27" s="540">
        <f t="shared" si="25"/>
        <v>2496626.052448187</v>
      </c>
      <c r="M27" s="540">
        <f t="shared" si="25"/>
        <v>5515403.2625523666</v>
      </c>
      <c r="N27" s="540">
        <f t="shared" si="25"/>
        <v>4765203.0802186178</v>
      </c>
      <c r="O27" s="540">
        <f t="shared" si="12"/>
        <v>73335730.499999985</v>
      </c>
    </row>
    <row r="28" spans="1:16" x14ac:dyDescent="0.2">
      <c r="A28" s="513"/>
      <c r="B28" s="513"/>
      <c r="C28" s="513"/>
      <c r="D28" s="513"/>
      <c r="E28" s="513"/>
      <c r="F28" s="513"/>
      <c r="G28" s="513"/>
      <c r="H28" s="513"/>
      <c r="I28" s="513"/>
      <c r="J28" s="513"/>
      <c r="K28" s="513"/>
      <c r="L28" s="513"/>
      <c r="M28" s="513"/>
      <c r="N28" s="513"/>
      <c r="O28" s="513"/>
      <c r="P28" s="509"/>
    </row>
    <row r="29" spans="1:16" x14ac:dyDescent="0.2">
      <c r="A29" s="514" t="s">
        <v>265</v>
      </c>
      <c r="M29" s="509"/>
      <c r="O29" s="509"/>
    </row>
    <row r="30" spans="1:16" x14ac:dyDescent="0.2">
      <c r="A30" s="500" t="s">
        <v>160</v>
      </c>
      <c r="B30" s="545"/>
      <c r="C30" s="509">
        <f>'X22.55 POE'!B22</f>
        <v>49683257.003376596</v>
      </c>
      <c r="D30" s="509">
        <f>'X22.55 POE'!C22</f>
        <v>67337248.138559192</v>
      </c>
      <c r="E30" s="509">
        <f>'X22.55 POE'!D22</f>
        <v>50114159.249773674</v>
      </c>
      <c r="F30" s="509">
        <f>'X22.55 POE'!E22</f>
        <v>72277727.072490275</v>
      </c>
      <c r="G30" s="509">
        <f>'X22.55 POE'!F22</f>
        <v>60446753.647698238</v>
      </c>
      <c r="H30" s="509">
        <f>'X22.55 POE'!G22</f>
        <v>61825542.852046207</v>
      </c>
      <c r="I30" s="509">
        <f>'X22.55 POE'!H22</f>
        <v>54694124.879864492</v>
      </c>
      <c r="J30" s="509">
        <f>'X22.55 POE'!I22</f>
        <v>57418478.037124634</v>
      </c>
      <c r="K30" s="509">
        <f>'X22.55 POE'!J22</f>
        <v>53006884.468336113</v>
      </c>
      <c r="L30" s="509">
        <f>'X22.55 POE'!K22</f>
        <v>45324314.841493957</v>
      </c>
      <c r="M30" s="509">
        <f>'X22.55 POE'!L22</f>
        <v>51626380.541841224</v>
      </c>
      <c r="N30" s="509">
        <f>'X22.55 POE'!M22</f>
        <v>53171108.2673954</v>
      </c>
      <c r="O30" s="509">
        <f>SUM(C30:N30)</f>
        <v>676925979</v>
      </c>
      <c r="P30" s="509"/>
    </row>
    <row r="31" spans="1:16" x14ac:dyDescent="0.2">
      <c r="A31" s="500" t="s">
        <v>300</v>
      </c>
      <c r="B31" s="546"/>
      <c r="C31" s="509">
        <f>'F.F.M.ESTIIMACIONES 2014'!C27</f>
        <v>35431649.000000007</v>
      </c>
      <c r="D31" s="509">
        <f>'F.F.M.ESTIIMACIONES 2014'!D27</f>
        <v>40934153.999999993</v>
      </c>
      <c r="E31" s="509">
        <f>'F.F.M.ESTIIMACIONES 2014'!E27</f>
        <v>34575072</v>
      </c>
      <c r="F31" s="509">
        <f>'F.F.M.ESTIIMACIONES 2014'!F27</f>
        <v>38155801</v>
      </c>
      <c r="G31" s="509">
        <f>'F.F.M.ESTIIMACIONES 2014'!G27</f>
        <v>32272527</v>
      </c>
      <c r="H31" s="509">
        <f>'F.F.M.ESTIIMACIONES 2014'!H27</f>
        <v>34566214.000000007</v>
      </c>
      <c r="I31" s="509">
        <f>'F.F.M.ESTIIMACIONES 2014'!I27</f>
        <v>38666123.000000007</v>
      </c>
      <c r="J31" s="509">
        <f>'F.F.M.ESTIIMACIONES 2014'!J27</f>
        <v>33252371</v>
      </c>
      <c r="K31" s="509">
        <f>'F.F.M.ESTIIMACIONES 2014'!K27</f>
        <v>37088604</v>
      </c>
      <c r="L31" s="509">
        <f>'F.F.M.ESTIIMACIONES 2014'!L27</f>
        <v>37002228</v>
      </c>
      <c r="M31" s="509">
        <f>'F.F.M.ESTIIMACIONES 2014'!M27</f>
        <v>33241703</v>
      </c>
      <c r="N31" s="509">
        <f>'F.F.M.ESTIIMACIONES 2014'!N27</f>
        <v>37287098.000000007</v>
      </c>
      <c r="O31" s="509">
        <f>SUM(C31:N31)</f>
        <v>432473544</v>
      </c>
      <c r="P31" s="509"/>
    </row>
    <row r="32" spans="1:16" x14ac:dyDescent="0.2">
      <c r="A32" s="500" t="s">
        <v>290</v>
      </c>
      <c r="B32" s="546"/>
      <c r="C32" s="509">
        <f>C30-C31</f>
        <v>14251608.003376588</v>
      </c>
      <c r="D32" s="509">
        <f t="shared" ref="D32:N32" si="26">D30-D31</f>
        <v>26403094.1385592</v>
      </c>
      <c r="E32" s="509">
        <f t="shared" si="26"/>
        <v>15539087.249773674</v>
      </c>
      <c r="F32" s="509">
        <f t="shared" si="26"/>
        <v>34121926.072490275</v>
      </c>
      <c r="G32" s="509">
        <f t="shared" si="26"/>
        <v>28174226.647698238</v>
      </c>
      <c r="H32" s="509">
        <f t="shared" si="26"/>
        <v>27259328.852046199</v>
      </c>
      <c r="I32" s="509">
        <f t="shared" si="26"/>
        <v>16028001.879864484</v>
      </c>
      <c r="J32" s="509">
        <f t="shared" si="26"/>
        <v>24166107.037124634</v>
      </c>
      <c r="K32" s="509">
        <f t="shared" si="26"/>
        <v>15918280.468336113</v>
      </c>
      <c r="L32" s="509">
        <f t="shared" si="26"/>
        <v>8322086.8414939567</v>
      </c>
      <c r="M32" s="509">
        <f t="shared" si="26"/>
        <v>18384677.541841224</v>
      </c>
      <c r="N32" s="509">
        <f t="shared" si="26"/>
        <v>15884010.267395392</v>
      </c>
      <c r="O32" s="509">
        <f t="shared" ref="O32:O34" si="27">SUM(C32:N32)</f>
        <v>244452434.99999994</v>
      </c>
      <c r="P32" s="509"/>
    </row>
    <row r="33" spans="1:16" x14ac:dyDescent="0.2">
      <c r="A33" s="500">
        <v>0.7</v>
      </c>
      <c r="C33" s="509">
        <f>C32*$A$33</f>
        <v>9976125.6023636106</v>
      </c>
      <c r="D33" s="509">
        <f t="shared" ref="D33:N33" si="28">D32*$A$33</f>
        <v>18482165.896991439</v>
      </c>
      <c r="E33" s="509">
        <f t="shared" si="28"/>
        <v>10877361.07484157</v>
      </c>
      <c r="F33" s="509">
        <f t="shared" si="28"/>
        <v>23885348.250743192</v>
      </c>
      <c r="G33" s="509">
        <f t="shared" si="28"/>
        <v>19721958.653388765</v>
      </c>
      <c r="H33" s="509">
        <f t="shared" si="28"/>
        <v>19081530.196432337</v>
      </c>
      <c r="I33" s="509">
        <f t="shared" si="28"/>
        <v>11219601.315905139</v>
      </c>
      <c r="J33" s="509">
        <f t="shared" si="28"/>
        <v>16916274.925987244</v>
      </c>
      <c r="K33" s="509">
        <f t="shared" si="28"/>
        <v>11142796.327835279</v>
      </c>
      <c r="L33" s="509">
        <f t="shared" si="28"/>
        <v>5825460.7890457697</v>
      </c>
      <c r="M33" s="509">
        <f t="shared" si="28"/>
        <v>12869274.279288856</v>
      </c>
      <c r="N33" s="509">
        <f t="shared" si="28"/>
        <v>11118807.187176773</v>
      </c>
      <c r="O33" s="509">
        <f t="shared" si="27"/>
        <v>171116704.5</v>
      </c>
      <c r="P33" s="509"/>
    </row>
    <row r="34" spans="1:16" x14ac:dyDescent="0.2">
      <c r="A34" s="500">
        <v>0.3</v>
      </c>
      <c r="C34" s="509">
        <f>C32*$A$34</f>
        <v>4275482.4010129767</v>
      </c>
      <c r="D34" s="509">
        <f t="shared" ref="D34:N34" si="29">D32*$A$34</f>
        <v>7920928.2415677598</v>
      </c>
      <c r="E34" s="509">
        <f t="shared" si="29"/>
        <v>4661726.1749321017</v>
      </c>
      <c r="F34" s="509">
        <f t="shared" si="29"/>
        <v>10236577.821747081</v>
      </c>
      <c r="G34" s="509">
        <f t="shared" si="29"/>
        <v>8452267.9943094719</v>
      </c>
      <c r="H34" s="509">
        <f t="shared" si="29"/>
        <v>8177798.6556138592</v>
      </c>
      <c r="I34" s="509">
        <f t="shared" si="29"/>
        <v>4808400.5639593452</v>
      </c>
      <c r="J34" s="509">
        <f t="shared" si="29"/>
        <v>7249832.1111373901</v>
      </c>
      <c r="K34" s="509">
        <f t="shared" si="29"/>
        <v>4775484.1405008333</v>
      </c>
      <c r="L34" s="509">
        <f t="shared" si="29"/>
        <v>2496626.052448187</v>
      </c>
      <c r="M34" s="509">
        <f t="shared" si="29"/>
        <v>5515403.2625523666</v>
      </c>
      <c r="N34" s="509">
        <f t="shared" si="29"/>
        <v>4765203.0802186178</v>
      </c>
      <c r="O34" s="509">
        <f t="shared" si="27"/>
        <v>73335730.499999985</v>
      </c>
      <c r="P34" s="509"/>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5" tint="0.59999389629810485"/>
  </sheetPr>
  <dimension ref="A1:P38"/>
  <sheetViews>
    <sheetView topLeftCell="A5" workbookViewId="0">
      <selection activeCell="C32" sqref="C32"/>
    </sheetView>
  </sheetViews>
  <sheetFormatPr baseColWidth="10" defaultRowHeight="12.75" x14ac:dyDescent="0.2"/>
  <cols>
    <col min="1" max="1" width="16" style="500" customWidth="1"/>
    <col min="2" max="2" width="9.28515625" style="500" bestFit="1" customWidth="1"/>
    <col min="3" max="3" width="13.28515625" style="500" bestFit="1" customWidth="1"/>
    <col min="4" max="14" width="12.7109375" style="500" bestFit="1" customWidth="1"/>
    <col min="15" max="15" width="14.85546875" style="500" customWidth="1"/>
    <col min="16" max="16" width="13.7109375" style="500" bestFit="1" customWidth="1"/>
    <col min="17"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299</v>
      </c>
      <c r="B4" s="1193"/>
      <c r="C4" s="1193"/>
      <c r="D4" s="1193"/>
      <c r="E4" s="1193"/>
      <c r="F4" s="1193"/>
      <c r="G4" s="1193"/>
      <c r="H4" s="1193"/>
      <c r="I4" s="1193"/>
      <c r="J4" s="1193"/>
      <c r="K4" s="1193"/>
      <c r="L4" s="1193"/>
      <c r="M4" s="1193"/>
      <c r="N4" s="1193"/>
      <c r="O4" s="1193"/>
    </row>
    <row r="5" spans="1:15" ht="13.5" thickBot="1" x14ac:dyDescent="0.25"/>
    <row r="6" spans="1:15" ht="34.5" thickBot="1" x14ac:dyDescent="0.25">
      <c r="A6" s="501" t="s">
        <v>13</v>
      </c>
      <c r="B6" s="547" t="s">
        <v>301</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06">
        <f>('CUADRO 7 FFM'!G8+'CUADRO 7 FFM'!J8)/2</f>
        <v>2.0783859001765843</v>
      </c>
      <c r="C7" s="532">
        <f t="shared" ref="C7:C26" si="0">$C$32*B7/100</f>
        <v>207342.38790343161</v>
      </c>
      <c r="D7" s="533">
        <f t="shared" ref="D7:D26" si="1">$D$32*B7/100</f>
        <v>384130.73005031521</v>
      </c>
      <c r="E7" s="532">
        <f t="shared" ref="E7:E26" si="2">$E$32*B7/100</f>
        <v>226073.53889080335</v>
      </c>
      <c r="F7" s="533">
        <f t="shared" ref="F7:F26" si="3">$F$32*B7/100</f>
        <v>496429.71025152097</v>
      </c>
      <c r="G7" s="532">
        <f t="shared" ref="G7:G26" si="4">$G$32*B7/100</f>
        <v>409898.40789068781</v>
      </c>
      <c r="H7" s="532">
        <f t="shared" ref="H7:H26" si="5">$H$32*B7/100</f>
        <v>396587.83314058697</v>
      </c>
      <c r="I7" s="534">
        <f t="shared" ref="I7:I26" si="6">$I$32*B7/100</f>
        <v>233186.61180579892</v>
      </c>
      <c r="J7" s="533">
        <f t="shared" ref="J7:J26" si="7">$J$32*B7/100</f>
        <v>351585.47289682581</v>
      </c>
      <c r="K7" s="532">
        <f t="shared" ref="K7:K26" si="8">$K$32*B7/100</f>
        <v>231590.3077631226</v>
      </c>
      <c r="L7" s="533">
        <f t="shared" ref="L7:L26" si="9">$L$32*B7/100</f>
        <v>121075.55565984287</v>
      </c>
      <c r="M7" s="532">
        <f t="shared" ref="M7:M26" si="10">$M$32*B7/100</f>
        <v>267473.18207579129</v>
      </c>
      <c r="N7" s="532">
        <f t="shared" ref="N7:N26" si="11">$N$32*B7/100</f>
        <v>231091.72084610272</v>
      </c>
      <c r="O7" s="535">
        <f t="shared" ref="O7:O27" si="12">SUM(C7:N7)</f>
        <v>3556465.4591748295</v>
      </c>
    </row>
    <row r="8" spans="1:15" x14ac:dyDescent="0.2">
      <c r="A8" s="505" t="s">
        <v>141</v>
      </c>
      <c r="B8" s="506">
        <f>('CUADRO 7 FFM'!G9+'CUADRO 7 FFM'!J9)/2</f>
        <v>1.0014020675550266</v>
      </c>
      <c r="C8" s="532">
        <f t="shared" si="0"/>
        <v>99901.128043955541</v>
      </c>
      <c r="D8" s="533">
        <f t="shared" si="1"/>
        <v>185080.7914214223</v>
      </c>
      <c r="E8" s="532">
        <f t="shared" si="2"/>
        <v>108926.11869888914</v>
      </c>
      <c r="F8" s="533">
        <f t="shared" si="3"/>
        <v>239188.3712256607</v>
      </c>
      <c r="G8" s="532">
        <f t="shared" si="4"/>
        <v>197496.10171738255</v>
      </c>
      <c r="H8" s="532">
        <f t="shared" si="5"/>
        <v>191082.83790821015</v>
      </c>
      <c r="I8" s="532">
        <f t="shared" si="6"/>
        <v>112353.31954890503</v>
      </c>
      <c r="J8" s="533">
        <f t="shared" si="7"/>
        <v>169399.92686212878</v>
      </c>
      <c r="K8" s="532">
        <f t="shared" si="8"/>
        <v>111584.19281038806</v>
      </c>
      <c r="L8" s="533">
        <f t="shared" si="9"/>
        <v>58336.284786111704</v>
      </c>
      <c r="M8" s="532">
        <f t="shared" si="10"/>
        <v>128873.17871212585</v>
      </c>
      <c r="N8" s="532">
        <f t="shared" si="11"/>
        <v>111343.96505984511</v>
      </c>
      <c r="O8" s="535">
        <f t="shared" si="12"/>
        <v>1713566.2167950247</v>
      </c>
    </row>
    <row r="9" spans="1:15" x14ac:dyDescent="0.2">
      <c r="A9" s="505" t="s">
        <v>142</v>
      </c>
      <c r="B9" s="506">
        <f>('CUADRO 7 FFM'!G10+'CUADRO 7 FFM'!J10)/2</f>
        <v>0.63899783463121829</v>
      </c>
      <c r="C9" s="532">
        <f t="shared" si="0"/>
        <v>63747.226579194052</v>
      </c>
      <c r="D9" s="533">
        <f t="shared" si="1"/>
        <v>118100.63987472479</v>
      </c>
      <c r="E9" s="532">
        <f t="shared" si="2"/>
        <v>69506.101733256641</v>
      </c>
      <c r="F9" s="533">
        <f t="shared" si="3"/>
        <v>152626.85811637458</v>
      </c>
      <c r="G9" s="532">
        <f t="shared" si="4"/>
        <v>126022.88874201837</v>
      </c>
      <c r="H9" s="532">
        <f t="shared" si="5"/>
        <v>121930.5647697047</v>
      </c>
      <c r="I9" s="532">
        <f t="shared" si="6"/>
        <v>71693.009462889502</v>
      </c>
      <c r="J9" s="533">
        <f t="shared" si="7"/>
        <v>108094.63047732221</v>
      </c>
      <c r="K9" s="532">
        <f t="shared" si="8"/>
        <v>71202.227252234341</v>
      </c>
      <c r="L9" s="533">
        <f t="shared" si="9"/>
        <v>37224.568299293147</v>
      </c>
      <c r="M9" s="532">
        <f t="shared" si="10"/>
        <v>82234.383977408113</v>
      </c>
      <c r="N9" s="532">
        <f t="shared" si="11"/>
        <v>71048.937162879854</v>
      </c>
      <c r="O9" s="535">
        <f t="shared" si="12"/>
        <v>1093432.0364473003</v>
      </c>
    </row>
    <row r="10" spans="1:15" x14ac:dyDescent="0.2">
      <c r="A10" s="505" t="s">
        <v>259</v>
      </c>
      <c r="B10" s="506">
        <f>('CUADRO 7 FFM'!G11+'CUADRO 7 FFM'!J11)/2</f>
        <v>29.236073976035861</v>
      </c>
      <c r="C10" s="532">
        <f t="shared" si="0"/>
        <v>2916627.4610492783</v>
      </c>
      <c r="D10" s="533">
        <f t="shared" si="1"/>
        <v>5403459.6940180883</v>
      </c>
      <c r="E10" s="532">
        <f t="shared" si="2"/>
        <v>3180113.3304812107</v>
      </c>
      <c r="F10" s="533">
        <f t="shared" si="3"/>
        <v>6983138.0840210672</v>
      </c>
      <c r="G10" s="532">
        <f t="shared" si="4"/>
        <v>5765926.4214279447</v>
      </c>
      <c r="H10" s="532">
        <f t="shared" si="5"/>
        <v>5578690.2839885792</v>
      </c>
      <c r="I10" s="532">
        <f t="shared" si="6"/>
        <v>3280170.9405343193</v>
      </c>
      <c r="J10" s="533">
        <f t="shared" si="7"/>
        <v>4945654.6513512358</v>
      </c>
      <c r="K10" s="532">
        <f t="shared" si="8"/>
        <v>3257716.1774049294</v>
      </c>
      <c r="L10" s="533">
        <f t="shared" si="9"/>
        <v>1703136.0257303836</v>
      </c>
      <c r="M10" s="532">
        <f t="shared" si="10"/>
        <v>3762470.5484718462</v>
      </c>
      <c r="N10" s="532">
        <f t="shared" si="11"/>
        <v>3250702.6944957934</v>
      </c>
      <c r="O10" s="535">
        <f t="shared" si="12"/>
        <v>50027806.312974691</v>
      </c>
    </row>
    <row r="11" spans="1:15" x14ac:dyDescent="0.2">
      <c r="A11" s="505" t="s">
        <v>144</v>
      </c>
      <c r="B11" s="506">
        <f>('CUADRO 7 FFM'!G12+'CUADRO 7 FFM'!J12)/2</f>
        <v>7.0671708021849682</v>
      </c>
      <c r="C11" s="532">
        <f t="shared" si="0"/>
        <v>705029.83575954032</v>
      </c>
      <c r="D11" s="533">
        <f t="shared" si="1"/>
        <v>1306166.2318835666</v>
      </c>
      <c r="E11" s="532">
        <f t="shared" si="2"/>
        <v>768721.68592943659</v>
      </c>
      <c r="F11" s="533">
        <f t="shared" si="3"/>
        <v>1688018.3575767211</v>
      </c>
      <c r="G11" s="532">
        <f t="shared" si="4"/>
        <v>1393784.5035712826</v>
      </c>
      <c r="H11" s="532">
        <f t="shared" si="5"/>
        <v>1348524.3306523741</v>
      </c>
      <c r="I11" s="532">
        <f t="shared" si="6"/>
        <v>792908.38831920852</v>
      </c>
      <c r="J11" s="533">
        <f t="shared" si="7"/>
        <v>1195502.0423867074</v>
      </c>
      <c r="K11" s="532">
        <f t="shared" si="8"/>
        <v>787480.4486277136</v>
      </c>
      <c r="L11" s="533">
        <f t="shared" si="9"/>
        <v>411695.26397617668</v>
      </c>
      <c r="M11" s="532">
        <f t="shared" si="10"/>
        <v>909493.594319002</v>
      </c>
      <c r="N11" s="532">
        <f t="shared" si="11"/>
        <v>785785.09508340061</v>
      </c>
      <c r="O11" s="535">
        <f t="shared" si="12"/>
        <v>12093109.778085131</v>
      </c>
    </row>
    <row r="12" spans="1:15" x14ac:dyDescent="0.2">
      <c r="A12" s="505" t="s">
        <v>260</v>
      </c>
      <c r="B12" s="506">
        <f>('CUADRO 7 FFM'!G13+'CUADRO 7 FFM'!J13)/2</f>
        <v>1.9315955812662491</v>
      </c>
      <c r="C12" s="532">
        <f t="shared" si="0"/>
        <v>192698.40131682649</v>
      </c>
      <c r="D12" s="533">
        <f t="shared" si="1"/>
        <v>357000.69978858426</v>
      </c>
      <c r="E12" s="532">
        <f t="shared" si="2"/>
        <v>210106.62588001473</v>
      </c>
      <c r="F12" s="533">
        <f t="shared" si="3"/>
        <v>461368.33138141083</v>
      </c>
      <c r="G12" s="532">
        <f t="shared" si="4"/>
        <v>380948.48188801401</v>
      </c>
      <c r="H12" s="532">
        <f t="shared" si="5"/>
        <v>368577.99411227205</v>
      </c>
      <c r="I12" s="532">
        <f t="shared" si="6"/>
        <v>216717.32325371358</v>
      </c>
      <c r="J12" s="533">
        <f t="shared" si="7"/>
        <v>326754.01898522006</v>
      </c>
      <c r="K12" s="532">
        <f t="shared" si="8"/>
        <v>215233.76149796412</v>
      </c>
      <c r="L12" s="533">
        <f t="shared" si="9"/>
        <v>112524.34318960605</v>
      </c>
      <c r="M12" s="532">
        <f t="shared" si="10"/>
        <v>248582.33331977748</v>
      </c>
      <c r="N12" s="532">
        <f t="shared" si="11"/>
        <v>214770.3883170207</v>
      </c>
      <c r="O12" s="535">
        <f t="shared" si="12"/>
        <v>3305282.7029304248</v>
      </c>
    </row>
    <row r="13" spans="1:15" x14ac:dyDescent="0.2">
      <c r="A13" s="505" t="s">
        <v>146</v>
      </c>
      <c r="B13" s="506">
        <f>('CUADRO 7 FFM'!G14+'CUADRO 7 FFM'!J14)/2</f>
        <v>0.50268728258890316</v>
      </c>
      <c r="C13" s="532">
        <f t="shared" si="0"/>
        <v>50148.714698177486</v>
      </c>
      <c r="D13" s="533">
        <f t="shared" si="1"/>
        <v>92907.497511159236</v>
      </c>
      <c r="E13" s="532">
        <f t="shared" si="2"/>
        <v>54679.110804504191</v>
      </c>
      <c r="F13" s="533">
        <f t="shared" si="3"/>
        <v>120068.60805855706</v>
      </c>
      <c r="G13" s="532">
        <f t="shared" si="4"/>
        <v>99139.778028027024</v>
      </c>
      <c r="H13" s="532">
        <f t="shared" si="5"/>
        <v>95920.425620826703</v>
      </c>
      <c r="I13" s="532">
        <f t="shared" si="6"/>
        <v>56399.508972232361</v>
      </c>
      <c r="J13" s="533">
        <f t="shared" si="7"/>
        <v>85035.962740713265</v>
      </c>
      <c r="K13" s="532">
        <f t="shared" si="8"/>
        <v>56013.420064811253</v>
      </c>
      <c r="L13" s="533">
        <f t="shared" si="9"/>
        <v>29283.850538736257</v>
      </c>
      <c r="M13" s="532">
        <f t="shared" si="10"/>
        <v>64692.205163469807</v>
      </c>
      <c r="N13" s="532">
        <f t="shared" si="11"/>
        <v>55892.829705518576</v>
      </c>
      <c r="O13" s="535">
        <f t="shared" si="12"/>
        <v>860181.91190673318</v>
      </c>
    </row>
    <row r="14" spans="1:15" x14ac:dyDescent="0.2">
      <c r="A14" s="505" t="s">
        <v>147</v>
      </c>
      <c r="B14" s="506">
        <f>('CUADRO 7 FFM'!G15+'CUADRO 7 FFM'!J15)/2</f>
        <v>1.9413439379063349</v>
      </c>
      <c r="C14" s="532">
        <f t="shared" si="0"/>
        <v>193670.90961940782</v>
      </c>
      <c r="D14" s="533">
        <f t="shared" si="1"/>
        <v>358802.40723503532</v>
      </c>
      <c r="E14" s="532">
        <f t="shared" si="2"/>
        <v>211166.98983062018</v>
      </c>
      <c r="F14" s="533">
        <f t="shared" si="3"/>
        <v>463696.76031361974</v>
      </c>
      <c r="G14" s="532">
        <f t="shared" si="4"/>
        <v>382871.04875395662</v>
      </c>
      <c r="H14" s="532">
        <f t="shared" si="5"/>
        <v>370438.12972820597</v>
      </c>
      <c r="I14" s="532">
        <f t="shared" si="6"/>
        <v>217811.0500035838</v>
      </c>
      <c r="J14" s="533">
        <f t="shared" si="7"/>
        <v>328403.07779522269</v>
      </c>
      <c r="K14" s="532">
        <f t="shared" si="8"/>
        <v>216320.00102367986</v>
      </c>
      <c r="L14" s="533">
        <f t="shared" si="9"/>
        <v>113092.22988325059</v>
      </c>
      <c r="M14" s="532">
        <f t="shared" si="10"/>
        <v>249836.87607351335</v>
      </c>
      <c r="N14" s="532">
        <f t="shared" si="11"/>
        <v>215854.28929575015</v>
      </c>
      <c r="O14" s="535">
        <f t="shared" si="12"/>
        <v>3321963.7695558462</v>
      </c>
    </row>
    <row r="15" spans="1:15" x14ac:dyDescent="0.2">
      <c r="A15" s="505" t="s">
        <v>148</v>
      </c>
      <c r="B15" s="506">
        <f>('CUADRO 7 FFM'!G16+'CUADRO 7 FFM'!J16)/2</f>
        <v>1.0341223267822914</v>
      </c>
      <c r="C15" s="532">
        <f t="shared" si="0"/>
        <v>103165.34220188645</v>
      </c>
      <c r="D15" s="533">
        <f t="shared" si="1"/>
        <v>191128.20401373104</v>
      </c>
      <c r="E15" s="532">
        <f t="shared" si="2"/>
        <v>112485.21943966292</v>
      </c>
      <c r="F15" s="533">
        <f t="shared" si="3"/>
        <v>247003.71909063883</v>
      </c>
      <c r="G15" s="532">
        <f t="shared" si="4"/>
        <v>203949.17771346535</v>
      </c>
      <c r="H15" s="532">
        <f t="shared" si="5"/>
        <v>197326.36405301164</v>
      </c>
      <c r="I15" s="532">
        <f t="shared" si="6"/>
        <v>116024.40218373481</v>
      </c>
      <c r="J15" s="533">
        <f t="shared" si="7"/>
        <v>174934.97586950863</v>
      </c>
      <c r="K15" s="532">
        <f t="shared" si="8"/>
        <v>115230.14465402192</v>
      </c>
      <c r="L15" s="533">
        <f t="shared" si="9"/>
        <v>60242.390657470154</v>
      </c>
      <c r="M15" s="532">
        <f t="shared" si="10"/>
        <v>133084.03861697688</v>
      </c>
      <c r="N15" s="532">
        <f t="shared" si="11"/>
        <v>114982.0675944691</v>
      </c>
      <c r="O15" s="535">
        <f t="shared" si="12"/>
        <v>1769556.0460885777</v>
      </c>
    </row>
    <row r="16" spans="1:15" x14ac:dyDescent="0.2">
      <c r="A16" s="505" t="s">
        <v>149</v>
      </c>
      <c r="B16" s="506">
        <f>('CUADRO 7 FFM'!G17+'CUADRO 7 FFM'!J17)/2</f>
        <v>0.62341175565643747</v>
      </c>
      <c r="C16" s="532">
        <f t="shared" si="0"/>
        <v>62192.339764186327</v>
      </c>
      <c r="D16" s="533">
        <f t="shared" si="1"/>
        <v>115219.99490176968</v>
      </c>
      <c r="E16" s="532">
        <f t="shared" si="2"/>
        <v>67810.747645759766</v>
      </c>
      <c r="F16" s="533">
        <f t="shared" si="3"/>
        <v>148904.06887461231</v>
      </c>
      <c r="G16" s="532">
        <f t="shared" si="4"/>
        <v>122949.00869092759</v>
      </c>
      <c r="H16" s="532">
        <f t="shared" si="5"/>
        <v>118956.50240369209</v>
      </c>
      <c r="I16" s="532">
        <f t="shared" si="6"/>
        <v>69944.313541136988</v>
      </c>
      <c r="J16" s="533">
        <f t="shared" si="7"/>
        <v>105458.04650776679</v>
      </c>
      <c r="K16" s="532">
        <f t="shared" si="8"/>
        <v>69465.502216578956</v>
      </c>
      <c r="L16" s="533">
        <f t="shared" si="9"/>
        <v>36316.607380067588</v>
      </c>
      <c r="M16" s="532">
        <f t="shared" si="10"/>
        <v>80228.568724757002</v>
      </c>
      <c r="N16" s="532">
        <f t="shared" si="11"/>
        <v>69315.951093632873</v>
      </c>
      <c r="O16" s="535">
        <f t="shared" si="12"/>
        <v>1066761.6517448879</v>
      </c>
    </row>
    <row r="17" spans="1:16" x14ac:dyDescent="0.2">
      <c r="A17" s="505" t="s">
        <v>150</v>
      </c>
      <c r="B17" s="506">
        <f>('CUADRO 7 FFM'!G18+'CUADRO 7 FFM'!J18)/2</f>
        <v>1.5468001601083268</v>
      </c>
      <c r="C17" s="532">
        <f t="shared" si="0"/>
        <v>154310.72678996812</v>
      </c>
      <c r="D17" s="533">
        <f t="shared" si="1"/>
        <v>285882.17168615013</v>
      </c>
      <c r="E17" s="532">
        <f t="shared" si="2"/>
        <v>168251.03852121023</v>
      </c>
      <c r="F17" s="533">
        <f t="shared" si="3"/>
        <v>369458.60498492711</v>
      </c>
      <c r="G17" s="532">
        <f t="shared" si="4"/>
        <v>305059.2880271154</v>
      </c>
      <c r="H17" s="532">
        <f t="shared" si="5"/>
        <v>295153.1396295341</v>
      </c>
      <c r="I17" s="532">
        <f t="shared" si="6"/>
        <v>173544.81111793662</v>
      </c>
      <c r="J17" s="533">
        <f t="shared" si="7"/>
        <v>261660.9676395354</v>
      </c>
      <c r="K17" s="532">
        <f t="shared" si="8"/>
        <v>172356.79143950087</v>
      </c>
      <c r="L17" s="533">
        <f t="shared" si="9"/>
        <v>90108.236812007759</v>
      </c>
      <c r="M17" s="532">
        <f t="shared" si="10"/>
        <v>199061.95515681975</v>
      </c>
      <c r="N17" s="532">
        <f t="shared" si="11"/>
        <v>171985.72737338647</v>
      </c>
      <c r="O17" s="535">
        <f t="shared" si="12"/>
        <v>2646833.4591780915</v>
      </c>
    </row>
    <row r="18" spans="1:16" x14ac:dyDescent="0.2">
      <c r="A18" s="505" t="s">
        <v>151</v>
      </c>
      <c r="B18" s="506">
        <f>('CUADRO 7 FFM'!G19+'CUADRO 7 FFM'!J19)/2</f>
        <v>1.1343339311350213</v>
      </c>
      <c r="C18" s="532">
        <f t="shared" si="0"/>
        <v>113162.57772025847</v>
      </c>
      <c r="D18" s="533">
        <f t="shared" si="1"/>
        <v>209649.47897823926</v>
      </c>
      <c r="E18" s="532">
        <f t="shared" si="2"/>
        <v>123385.597484001</v>
      </c>
      <c r="F18" s="533">
        <f t="shared" si="3"/>
        <v>270939.60977794533</v>
      </c>
      <c r="G18" s="532">
        <f t="shared" si="4"/>
        <v>223712.86888980828</v>
      </c>
      <c r="H18" s="532">
        <f t="shared" si="5"/>
        <v>216448.27159790709</v>
      </c>
      <c r="I18" s="532">
        <f t="shared" si="6"/>
        <v>127267.74466438334</v>
      </c>
      <c r="J18" s="533">
        <f t="shared" si="7"/>
        <v>191887.04636955902</v>
      </c>
      <c r="K18" s="532">
        <f t="shared" si="8"/>
        <v>126396.51962390271</v>
      </c>
      <c r="L18" s="533">
        <f t="shared" si="9"/>
        <v>66080.178375112111</v>
      </c>
      <c r="M18" s="532">
        <f t="shared" si="10"/>
        <v>145980.54484080547</v>
      </c>
      <c r="N18" s="532">
        <f t="shared" si="11"/>
        <v>126124.40266162557</v>
      </c>
      <c r="O18" s="535">
        <f t="shared" si="12"/>
        <v>1941034.8409835475</v>
      </c>
    </row>
    <row r="19" spans="1:16" x14ac:dyDescent="0.2">
      <c r="A19" s="505" t="s">
        <v>152</v>
      </c>
      <c r="B19" s="506">
        <f>('CUADRO 7 FFM'!G20+'CUADRO 7 FFM'!J20)/2</f>
        <v>2.1291840950001979</v>
      </c>
      <c r="C19" s="532">
        <f t="shared" si="0"/>
        <v>212410.07962276868</v>
      </c>
      <c r="D19" s="533">
        <f t="shared" si="1"/>
        <v>393519.33669029234</v>
      </c>
      <c r="E19" s="532">
        <f t="shared" si="2"/>
        <v>231599.04196126928</v>
      </c>
      <c r="F19" s="533">
        <f t="shared" si="3"/>
        <v>508563.03599023202</v>
      </c>
      <c r="G19" s="532">
        <f t="shared" si="4"/>
        <v>419916.80687046878</v>
      </c>
      <c r="H19" s="532">
        <f t="shared" si="5"/>
        <v>406280.90602509736</v>
      </c>
      <c r="I19" s="532">
        <f t="shared" si="6"/>
        <v>238885.96674068514</v>
      </c>
      <c r="J19" s="533">
        <f t="shared" si="7"/>
        <v>360178.6351906269</v>
      </c>
      <c r="K19" s="532">
        <f t="shared" si="8"/>
        <v>237250.64715053487</v>
      </c>
      <c r="L19" s="533">
        <f t="shared" si="9"/>
        <v>124034.78458083555</v>
      </c>
      <c r="M19" s="532">
        <f t="shared" si="10"/>
        <v>274010.54109656968</v>
      </c>
      <c r="N19" s="532">
        <f t="shared" si="11"/>
        <v>236739.87418310676</v>
      </c>
      <c r="O19" s="535">
        <f t="shared" si="12"/>
        <v>3643389.6561024869</v>
      </c>
    </row>
    <row r="20" spans="1:16" x14ac:dyDescent="0.2">
      <c r="A20" s="505" t="s">
        <v>261</v>
      </c>
      <c r="B20" s="506">
        <f>('CUADRO 7 FFM'!G21+'CUADRO 7 FFM'!J21)/2</f>
        <v>0.43333800375874559</v>
      </c>
      <c r="C20" s="532">
        <f t="shared" si="0"/>
        <v>43230.343537747605</v>
      </c>
      <c r="D20" s="533">
        <f t="shared" si="1"/>
        <v>80090.248749402366</v>
      </c>
      <c r="E20" s="532">
        <f t="shared" si="2"/>
        <v>47135.739343349291</v>
      </c>
      <c r="F20" s="533">
        <f t="shared" si="3"/>
        <v>103504.29130059501</v>
      </c>
      <c r="G20" s="532">
        <f t="shared" si="4"/>
        <v>85462.741930720062</v>
      </c>
      <c r="H20" s="532">
        <f t="shared" si="5"/>
        <v>82687.522039842137</v>
      </c>
      <c r="I20" s="532">
        <f t="shared" si="6"/>
        <v>48618.796372033285</v>
      </c>
      <c r="J20" s="533">
        <f t="shared" si="7"/>
        <v>73304.648074614335</v>
      </c>
      <c r="K20" s="532">
        <f t="shared" si="8"/>
        <v>48285.971169944212</v>
      </c>
      <c r="L20" s="533">
        <f t="shared" si="9"/>
        <v>25243.935492999408</v>
      </c>
      <c r="M20" s="532">
        <f t="shared" si="10"/>
        <v>55767.456260108025</v>
      </c>
      <c r="N20" s="532">
        <f t="shared" si="11"/>
        <v>48182.017106695763</v>
      </c>
      <c r="O20" s="535">
        <f t="shared" si="12"/>
        <v>741513.71137805155</v>
      </c>
    </row>
    <row r="21" spans="1:16" x14ac:dyDescent="0.2">
      <c r="A21" s="505" t="s">
        <v>262</v>
      </c>
      <c r="B21" s="506">
        <f>('CUADRO 7 FFM'!G22+'CUADRO 7 FFM'!J22)/2</f>
        <v>1.2435299505126973</v>
      </c>
      <c r="C21" s="532">
        <f t="shared" si="0"/>
        <v>124056.10976615673</v>
      </c>
      <c r="D21" s="533">
        <f t="shared" si="1"/>
        <v>229831.26843253226</v>
      </c>
      <c r="E21" s="532">
        <f t="shared" si="2"/>
        <v>135263.24279106478</v>
      </c>
      <c r="F21" s="533">
        <f t="shared" si="3"/>
        <v>297021.45928225224</v>
      </c>
      <c r="G21" s="532">
        <f t="shared" si="4"/>
        <v>245248.46268261995</v>
      </c>
      <c r="H21" s="532">
        <f t="shared" si="5"/>
        <v>237284.54300876043</v>
      </c>
      <c r="I21" s="532">
        <f t="shared" si="6"/>
        <v>139519.1026913971</v>
      </c>
      <c r="J21" s="533">
        <f t="shared" si="7"/>
        <v>210358.94521572097</v>
      </c>
      <c r="K21" s="532">
        <f t="shared" si="8"/>
        <v>138564.0096612607</v>
      </c>
      <c r="L21" s="533">
        <f t="shared" si="9"/>
        <v>72441.349667157454</v>
      </c>
      <c r="M21" s="532">
        <f t="shared" si="10"/>
        <v>160033.28007658399</v>
      </c>
      <c r="N21" s="532">
        <f t="shared" si="11"/>
        <v>138265.69751230156</v>
      </c>
      <c r="O21" s="535">
        <f t="shared" si="12"/>
        <v>2127887.4707878083</v>
      </c>
    </row>
    <row r="22" spans="1:16" x14ac:dyDescent="0.2">
      <c r="A22" s="505" t="s">
        <v>263</v>
      </c>
      <c r="B22" s="506">
        <f>('CUADRO 7 FFM'!G23+'CUADRO 7 FFM'!J23)/2</f>
        <v>5.1469607213909114</v>
      </c>
      <c r="C22" s="532">
        <f t="shared" si="0"/>
        <v>513467.2662702775</v>
      </c>
      <c r="D22" s="533">
        <f t="shared" si="1"/>
        <v>951269.81918045564</v>
      </c>
      <c r="E22" s="532">
        <f t="shared" si="2"/>
        <v>559853.50204595993</v>
      </c>
      <c r="F22" s="533">
        <f t="shared" si="3"/>
        <v>1229369.4926331833</v>
      </c>
      <c r="G22" s="532">
        <f t="shared" si="4"/>
        <v>1015081.4653788756</v>
      </c>
      <c r="H22" s="532">
        <f t="shared" si="5"/>
        <v>982118.86425071838</v>
      </c>
      <c r="I22" s="532">
        <f t="shared" si="6"/>
        <v>577468.4728262953</v>
      </c>
      <c r="J22" s="533">
        <f t="shared" si="7"/>
        <v>870674.02596306289</v>
      </c>
      <c r="K22" s="532">
        <f t="shared" si="8"/>
        <v>573515.35025827063</v>
      </c>
      <c r="L22" s="533">
        <f t="shared" si="9"/>
        <v>299834.17865221482</v>
      </c>
      <c r="M22" s="532">
        <f t="shared" si="10"/>
        <v>662376.49228306068</v>
      </c>
      <c r="N22" s="532">
        <f t="shared" si="11"/>
        <v>572280.63861117815</v>
      </c>
      <c r="O22" s="535">
        <f t="shared" si="12"/>
        <v>8807309.5683535524</v>
      </c>
    </row>
    <row r="23" spans="1:16" x14ac:dyDescent="0.2">
      <c r="A23" s="505" t="s">
        <v>156</v>
      </c>
      <c r="B23" s="506">
        <f>('CUADRO 7 FFM'!G24+'CUADRO 7 FFM'!J24)/2</f>
        <v>1.8405361105815885</v>
      </c>
      <c r="C23" s="532">
        <f t="shared" si="0"/>
        <v>183614.19414847728</v>
      </c>
      <c r="D23" s="533">
        <f t="shared" si="1"/>
        <v>340170.93735172303</v>
      </c>
      <c r="E23" s="532">
        <f t="shared" si="2"/>
        <v>200201.7584608047</v>
      </c>
      <c r="F23" s="533">
        <f t="shared" si="3"/>
        <v>439618.45969309623</v>
      </c>
      <c r="G23" s="532">
        <f t="shared" si="4"/>
        <v>362989.77072959056</v>
      </c>
      <c r="H23" s="532">
        <f t="shared" si="5"/>
        <v>351202.45371686714</v>
      </c>
      <c r="I23" s="532">
        <f t="shared" si="6"/>
        <v>206500.81368252117</v>
      </c>
      <c r="J23" s="533">
        <f t="shared" si="7"/>
        <v>311350.1485780541</v>
      </c>
      <c r="K23" s="532">
        <f t="shared" si="8"/>
        <v>205087.19014236753</v>
      </c>
      <c r="L23" s="533">
        <f t="shared" si="9"/>
        <v>107219.70943015853</v>
      </c>
      <c r="M23" s="532">
        <f t="shared" si="10"/>
        <v>236863.64028009988</v>
      </c>
      <c r="N23" s="532">
        <f t="shared" si="11"/>
        <v>204645.66134592949</v>
      </c>
      <c r="O23" s="535">
        <f t="shared" si="12"/>
        <v>3149464.7375596901</v>
      </c>
    </row>
    <row r="24" spans="1:16" x14ac:dyDescent="0.2">
      <c r="A24" s="505" t="s">
        <v>157</v>
      </c>
      <c r="B24" s="506">
        <f>('CUADRO 7 FFM'!G25+'CUADRO 7 FFM'!J25)/2</f>
        <v>33.66414119235823</v>
      </c>
      <c r="C24" s="532">
        <f t="shared" si="0"/>
        <v>3358377.008306684</v>
      </c>
      <c r="D24" s="533">
        <f t="shared" si="1"/>
        <v>6221862.4229690805</v>
      </c>
      <c r="E24" s="532">
        <f t="shared" si="2"/>
        <v>3661770.1902372809</v>
      </c>
      <c r="F24" s="533">
        <f t="shared" si="3"/>
        <v>8040797.3594166543</v>
      </c>
      <c r="G24" s="532">
        <f t="shared" si="4"/>
        <v>6639228.0069753053</v>
      </c>
      <c r="H24" s="532">
        <f t="shared" si="5"/>
        <v>6423633.2669894528</v>
      </c>
      <c r="I24" s="532">
        <f t="shared" si="6"/>
        <v>3776982.4282059879</v>
      </c>
      <c r="J24" s="533">
        <f t="shared" si="7"/>
        <v>5694718.6755718384</v>
      </c>
      <c r="K24" s="532">
        <f t="shared" si="8"/>
        <v>3751126.6885793763</v>
      </c>
      <c r="L24" s="533">
        <f t="shared" si="9"/>
        <v>1961091.3451298338</v>
      </c>
      <c r="M24" s="532">
        <f t="shared" si="10"/>
        <v>4332330.6638116427</v>
      </c>
      <c r="N24" s="532">
        <f t="shared" si="11"/>
        <v>3743050.9503972637</v>
      </c>
      <c r="O24" s="535">
        <f t="shared" si="12"/>
        <v>57604969.006590389</v>
      </c>
    </row>
    <row r="25" spans="1:16" x14ac:dyDescent="0.2">
      <c r="A25" s="505" t="s">
        <v>158</v>
      </c>
      <c r="B25" s="506">
        <f>('CUADRO 7 FFM'!G26+'CUADRO 7 FFM'!J26)/2</f>
        <v>1.4693394851963877</v>
      </c>
      <c r="C25" s="532">
        <f t="shared" si="0"/>
        <v>146583.15256831452</v>
      </c>
      <c r="D25" s="533">
        <f t="shared" si="1"/>
        <v>271565.76124399633</v>
      </c>
      <c r="E25" s="532">
        <f t="shared" si="2"/>
        <v>159825.36122002939</v>
      </c>
      <c r="F25" s="533">
        <f t="shared" si="3"/>
        <v>350956.85302483442</v>
      </c>
      <c r="G25" s="532">
        <f t="shared" si="4"/>
        <v>289782.52574834687</v>
      </c>
      <c r="H25" s="532">
        <f t="shared" si="5"/>
        <v>280372.45755585213</v>
      </c>
      <c r="I25" s="532">
        <f t="shared" si="6"/>
        <v>164854.03221620771</v>
      </c>
      <c r="J25" s="533">
        <f t="shared" si="7"/>
        <v>248557.50691190656</v>
      </c>
      <c r="K25" s="532">
        <f t="shared" si="8"/>
        <v>163725.50619989689</v>
      </c>
      <c r="L25" s="533">
        <f t="shared" si="9"/>
        <v>85595.79556808254</v>
      </c>
      <c r="M25" s="532">
        <f t="shared" si="10"/>
        <v>189093.32844381398</v>
      </c>
      <c r="N25" s="532">
        <f t="shared" si="11"/>
        <v>163373.02428404216</v>
      </c>
      <c r="O25" s="535">
        <f t="shared" si="12"/>
        <v>2514285.3049853235</v>
      </c>
    </row>
    <row r="26" spans="1:16" ht="13.5" thickBot="1" x14ac:dyDescent="0.25">
      <c r="A26" s="505" t="s">
        <v>159</v>
      </c>
      <c r="B26" s="506">
        <f>('CUADRO 7 FFM'!G27+'CUADRO 7 FFM'!J27)/2</f>
        <v>5.3366448851740156</v>
      </c>
      <c r="C26" s="532">
        <f t="shared" si="0"/>
        <v>532390.39669707301</v>
      </c>
      <c r="D26" s="533">
        <f t="shared" si="1"/>
        <v>986327.5610111698</v>
      </c>
      <c r="E26" s="532">
        <f t="shared" si="2"/>
        <v>580486.13344244193</v>
      </c>
      <c r="F26" s="533">
        <f t="shared" si="3"/>
        <v>1274676.2157292878</v>
      </c>
      <c r="G26" s="532">
        <f t="shared" si="4"/>
        <v>1052490.8977322057</v>
      </c>
      <c r="H26" s="532">
        <f t="shared" si="5"/>
        <v>1018313.5052408417</v>
      </c>
      <c r="I26" s="538">
        <f t="shared" si="6"/>
        <v>598750.27976216818</v>
      </c>
      <c r="J26" s="533">
        <f t="shared" si="7"/>
        <v>902761.5205996728</v>
      </c>
      <c r="K26" s="532">
        <f t="shared" si="8"/>
        <v>594651.47029477952</v>
      </c>
      <c r="L26" s="533">
        <f t="shared" si="9"/>
        <v>310884.15523642889</v>
      </c>
      <c r="M26" s="532">
        <f t="shared" si="10"/>
        <v>686787.46758468391</v>
      </c>
      <c r="N26" s="532">
        <f t="shared" si="11"/>
        <v>593371.25504683005</v>
      </c>
      <c r="O26" s="535">
        <f t="shared" si="12"/>
        <v>9131890.8583775833</v>
      </c>
    </row>
    <row r="27" spans="1:16" ht="13.5" thickBot="1" x14ac:dyDescent="0.25">
      <c r="A27" s="510" t="s">
        <v>264</v>
      </c>
      <c r="B27" s="526">
        <f t="shared" ref="B27:N27" si="13">SUM(B7:B26)</f>
        <v>99.999999999999972</v>
      </c>
      <c r="C27" s="540">
        <f t="shared" si="13"/>
        <v>9976125.6023636088</v>
      </c>
      <c r="D27" s="540">
        <f t="shared" si="13"/>
        <v>18482165.896991435</v>
      </c>
      <c r="E27" s="540">
        <f t="shared" si="13"/>
        <v>10877361.07484157</v>
      </c>
      <c r="F27" s="540">
        <f t="shared" si="13"/>
        <v>23885348.250743192</v>
      </c>
      <c r="G27" s="540">
        <f t="shared" si="13"/>
        <v>19721958.653388757</v>
      </c>
      <c r="H27" s="540">
        <f t="shared" si="13"/>
        <v>19081530.196432333</v>
      </c>
      <c r="I27" s="540">
        <f t="shared" si="13"/>
        <v>11219601.315905139</v>
      </c>
      <c r="J27" s="540">
        <f t="shared" si="13"/>
        <v>16916274.925987244</v>
      </c>
      <c r="K27" s="540">
        <f t="shared" si="13"/>
        <v>11142796.327835279</v>
      </c>
      <c r="L27" s="540">
        <f t="shared" si="13"/>
        <v>5825460.7890457688</v>
      </c>
      <c r="M27" s="540">
        <f t="shared" si="13"/>
        <v>12869274.279288856</v>
      </c>
      <c r="N27" s="540">
        <f t="shared" si="13"/>
        <v>11118807.187176773</v>
      </c>
      <c r="O27" s="540">
        <f t="shared" si="12"/>
        <v>171116704.49999997</v>
      </c>
    </row>
    <row r="28" spans="1:16" x14ac:dyDescent="0.2">
      <c r="A28" s="513"/>
      <c r="B28" s="513"/>
      <c r="C28" s="513"/>
      <c r="D28" s="513"/>
      <c r="E28" s="513"/>
      <c r="F28" s="513"/>
      <c r="G28" s="513"/>
      <c r="H28" s="513"/>
      <c r="I28" s="513"/>
      <c r="J28" s="513"/>
      <c r="K28" s="513"/>
      <c r="L28" s="513"/>
      <c r="M28" s="513"/>
      <c r="N28" s="513"/>
      <c r="O28" s="513"/>
      <c r="P28" s="509"/>
    </row>
    <row r="29" spans="1:16" x14ac:dyDescent="0.2">
      <c r="A29" s="514" t="s">
        <v>160</v>
      </c>
      <c r="C29" s="509">
        <f>'X22.55 POE'!B22</f>
        <v>49683257.003376596</v>
      </c>
      <c r="D29" s="509">
        <f>'X22.55 POE'!C22</f>
        <v>67337248.138559192</v>
      </c>
      <c r="E29" s="509">
        <f>'X22.55 POE'!D22</f>
        <v>50114159.249773674</v>
      </c>
      <c r="F29" s="509">
        <f>'X22.55 POE'!E22</f>
        <v>72277727.072490275</v>
      </c>
      <c r="G29" s="509">
        <f>'X22.55 POE'!F22</f>
        <v>60446753.647698238</v>
      </c>
      <c r="H29" s="509">
        <f>'X22.55 POE'!G22</f>
        <v>61825542.852046207</v>
      </c>
      <c r="I29" s="509">
        <f>'X22.55 POE'!H22</f>
        <v>54694124.879864492</v>
      </c>
      <c r="J29" s="509">
        <f>'X22.55 POE'!I22</f>
        <v>57418478.037124634</v>
      </c>
      <c r="K29" s="509">
        <f>'X22.55 POE'!J22</f>
        <v>53006884.468336113</v>
      </c>
      <c r="L29" s="509">
        <f>'X22.55 POE'!K22</f>
        <v>45324314.841493957</v>
      </c>
      <c r="M29" s="509">
        <f>'X22.55 POE'!L22</f>
        <v>51626380.541841224</v>
      </c>
      <c r="N29" s="509">
        <f>'X22.55 POE'!M22</f>
        <v>53171108.2673954</v>
      </c>
      <c r="O29" s="509">
        <f>SUM(C29:N29)</f>
        <v>676925979</v>
      </c>
    </row>
    <row r="30" spans="1:16" x14ac:dyDescent="0.2">
      <c r="A30" s="500" t="s">
        <v>300</v>
      </c>
      <c r="C30" s="509">
        <f>'F.F.M.ESTIIMACIONES 2014'!C27</f>
        <v>35431649.000000007</v>
      </c>
      <c r="D30" s="509">
        <f>'F.F.M.ESTIIMACIONES 2014'!D27</f>
        <v>40934153.999999993</v>
      </c>
      <c r="E30" s="509">
        <f>'F.F.M.ESTIIMACIONES 2014'!E27</f>
        <v>34575072</v>
      </c>
      <c r="F30" s="509">
        <f>'F.F.M.ESTIIMACIONES 2014'!F27</f>
        <v>38155801</v>
      </c>
      <c r="G30" s="509">
        <f>'F.F.M.ESTIIMACIONES 2014'!G27</f>
        <v>32272527</v>
      </c>
      <c r="H30" s="509">
        <f>'F.F.M.ESTIIMACIONES 2014'!H27</f>
        <v>34566214.000000007</v>
      </c>
      <c r="I30" s="509">
        <f>'F.F.M.ESTIIMACIONES 2014'!I27</f>
        <v>38666123.000000007</v>
      </c>
      <c r="J30" s="509">
        <f>'F.F.M.ESTIIMACIONES 2014'!J27</f>
        <v>33252371</v>
      </c>
      <c r="K30" s="509">
        <f>'F.F.M.ESTIIMACIONES 2014'!K27</f>
        <v>37088604</v>
      </c>
      <c r="L30" s="509">
        <f>'F.F.M.ESTIIMACIONES 2014'!L27</f>
        <v>37002228</v>
      </c>
      <c r="M30" s="509">
        <f>'F.F.M.ESTIIMACIONES 2014'!M27</f>
        <v>33241703</v>
      </c>
      <c r="N30" s="509">
        <f>'F.F.M.ESTIIMACIONES 2014'!N27</f>
        <v>37287098.000000007</v>
      </c>
      <c r="O30" s="509">
        <f>SUM(C30:N30)</f>
        <v>432473544</v>
      </c>
    </row>
    <row r="31" spans="1:16" x14ac:dyDescent="0.2">
      <c r="A31" s="500" t="s">
        <v>290</v>
      </c>
      <c r="C31" s="509">
        <f>C29-C30</f>
        <v>14251608.003376588</v>
      </c>
      <c r="D31" s="509">
        <f t="shared" ref="D31:N31" si="14">D29-D30</f>
        <v>26403094.1385592</v>
      </c>
      <c r="E31" s="509">
        <f t="shared" si="14"/>
        <v>15539087.249773674</v>
      </c>
      <c r="F31" s="509">
        <f t="shared" si="14"/>
        <v>34121926.072490275</v>
      </c>
      <c r="G31" s="509">
        <f t="shared" si="14"/>
        <v>28174226.647698238</v>
      </c>
      <c r="H31" s="509">
        <f t="shared" si="14"/>
        <v>27259328.852046199</v>
      </c>
      <c r="I31" s="509">
        <f t="shared" si="14"/>
        <v>16028001.879864484</v>
      </c>
      <c r="J31" s="509">
        <f t="shared" si="14"/>
        <v>24166107.037124634</v>
      </c>
      <c r="K31" s="509">
        <f t="shared" si="14"/>
        <v>15918280.468336113</v>
      </c>
      <c r="L31" s="509">
        <f t="shared" si="14"/>
        <v>8322086.8414939567</v>
      </c>
      <c r="M31" s="509">
        <f t="shared" si="14"/>
        <v>18384677.541841224</v>
      </c>
      <c r="N31" s="509">
        <f t="shared" si="14"/>
        <v>15884010.267395392</v>
      </c>
      <c r="O31" s="509">
        <f t="shared" ref="O31" si="15">O29-O30</f>
        <v>244452435</v>
      </c>
    </row>
    <row r="32" spans="1:16" x14ac:dyDescent="0.2">
      <c r="A32" s="548">
        <v>0.7</v>
      </c>
      <c r="B32" s="548"/>
      <c r="C32" s="509">
        <f>C31*0.7</f>
        <v>9976125.6023636106</v>
      </c>
      <c r="D32" s="509">
        <f t="shared" ref="D32:N32" si="16">D31*0.7</f>
        <v>18482165.896991439</v>
      </c>
      <c r="E32" s="509">
        <f t="shared" si="16"/>
        <v>10877361.07484157</v>
      </c>
      <c r="F32" s="509">
        <f t="shared" si="16"/>
        <v>23885348.250743192</v>
      </c>
      <c r="G32" s="509">
        <f t="shared" si="16"/>
        <v>19721958.653388765</v>
      </c>
      <c r="H32" s="509">
        <f t="shared" si="16"/>
        <v>19081530.196432337</v>
      </c>
      <c r="I32" s="509">
        <f t="shared" si="16"/>
        <v>11219601.315905139</v>
      </c>
      <c r="J32" s="509">
        <f t="shared" si="16"/>
        <v>16916274.925987244</v>
      </c>
      <c r="K32" s="509">
        <f t="shared" si="16"/>
        <v>11142796.327835279</v>
      </c>
      <c r="L32" s="509">
        <f t="shared" si="16"/>
        <v>5825460.7890457697</v>
      </c>
      <c r="M32" s="509">
        <f t="shared" si="16"/>
        <v>12869274.279288856</v>
      </c>
      <c r="N32" s="509">
        <f t="shared" si="16"/>
        <v>11118807.187176773</v>
      </c>
      <c r="O32" s="509">
        <f t="shared" ref="O32" si="17">O31*0.7</f>
        <v>171116704.5</v>
      </c>
    </row>
    <row r="33" spans="1:15" x14ac:dyDescent="0.2">
      <c r="A33" s="548">
        <v>0.3</v>
      </c>
      <c r="B33" s="548"/>
      <c r="C33" s="509">
        <f>C31*0.3</f>
        <v>4275482.4010129767</v>
      </c>
      <c r="D33" s="509">
        <f t="shared" ref="D33:N33" si="18">D31*0.3</f>
        <v>7920928.2415677598</v>
      </c>
      <c r="E33" s="509">
        <f t="shared" si="18"/>
        <v>4661726.1749321017</v>
      </c>
      <c r="F33" s="509">
        <f t="shared" si="18"/>
        <v>10236577.821747081</v>
      </c>
      <c r="G33" s="509">
        <f t="shared" si="18"/>
        <v>8452267.9943094719</v>
      </c>
      <c r="H33" s="509">
        <f t="shared" si="18"/>
        <v>8177798.6556138592</v>
      </c>
      <c r="I33" s="509">
        <f t="shared" si="18"/>
        <v>4808400.5639593452</v>
      </c>
      <c r="J33" s="509">
        <f t="shared" si="18"/>
        <v>7249832.1111373901</v>
      </c>
      <c r="K33" s="509">
        <f t="shared" si="18"/>
        <v>4775484.1405008333</v>
      </c>
      <c r="L33" s="509">
        <f t="shared" si="18"/>
        <v>2496626.052448187</v>
      </c>
      <c r="M33" s="509">
        <f t="shared" si="18"/>
        <v>5515403.2625523666</v>
      </c>
      <c r="N33" s="509">
        <f t="shared" si="18"/>
        <v>4765203.0802186178</v>
      </c>
      <c r="O33" s="509">
        <f t="shared" ref="O33" si="19">O31*0.3</f>
        <v>73335730.5</v>
      </c>
    </row>
    <row r="37" spans="1:15" x14ac:dyDescent="0.2">
      <c r="B37" s="500">
        <f>'CUADRO 7 FFM'!G8+'CUADRO 7 FFM'!J8</f>
        <v>4.1567718003531686</v>
      </c>
    </row>
    <row r="38" spans="1:15" x14ac:dyDescent="0.2">
      <c r="B38" s="500">
        <f>B37/2</f>
        <v>2.0783859001765843</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5" tint="0.59999389629810485"/>
  </sheetPr>
  <dimension ref="A1:P32"/>
  <sheetViews>
    <sheetView workbookViewId="0">
      <selection activeCell="C32" sqref="C32"/>
    </sheetView>
  </sheetViews>
  <sheetFormatPr baseColWidth="10" defaultRowHeight="12.75" x14ac:dyDescent="0.2"/>
  <cols>
    <col min="1" max="1" width="16" style="500" customWidth="1"/>
    <col min="2" max="2" width="9.28515625" style="500" bestFit="1" customWidth="1"/>
    <col min="3" max="12" width="10.85546875" style="500" bestFit="1" customWidth="1"/>
    <col min="13" max="13" width="11.7109375" style="500" bestFit="1" customWidth="1"/>
    <col min="14" max="14" width="10.85546875" style="500" bestFit="1" customWidth="1"/>
    <col min="15" max="16" width="13.7109375" style="500" bestFit="1" customWidth="1"/>
    <col min="17"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299</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01" t="s">
        <v>286</v>
      </c>
      <c r="B6" s="502" t="s">
        <v>257</v>
      </c>
      <c r="C6" s="501" t="s">
        <v>1</v>
      </c>
      <c r="D6" s="503" t="s">
        <v>2</v>
      </c>
      <c r="E6" s="501" t="s">
        <v>3</v>
      </c>
      <c r="F6" s="503" t="s">
        <v>4</v>
      </c>
      <c r="G6" s="501" t="s">
        <v>5</v>
      </c>
      <c r="H6" s="501" t="s">
        <v>6</v>
      </c>
      <c r="I6" s="501" t="s">
        <v>7</v>
      </c>
      <c r="J6" s="503" t="s">
        <v>8</v>
      </c>
      <c r="K6" s="501" t="s">
        <v>9</v>
      </c>
      <c r="L6" s="503" t="s">
        <v>10</v>
      </c>
      <c r="M6" s="501" t="s">
        <v>11</v>
      </c>
      <c r="N6" s="501" t="s">
        <v>12</v>
      </c>
      <c r="O6" s="504" t="s">
        <v>160</v>
      </c>
    </row>
    <row r="7" spans="1:15" x14ac:dyDescent="0.2">
      <c r="A7" s="505" t="s">
        <v>258</v>
      </c>
      <c r="B7" s="525">
        <v>3.6200000000000003E-2</v>
      </c>
      <c r="C7" s="532">
        <v>1282625.6938</v>
      </c>
      <c r="D7" s="533">
        <v>1481816.3748000001</v>
      </c>
      <c r="E7" s="532">
        <v>1251617.6064000002</v>
      </c>
      <c r="F7" s="533">
        <v>1381239.9962000002</v>
      </c>
      <c r="G7" s="532">
        <v>1168265.4774000002</v>
      </c>
      <c r="H7" s="532">
        <v>1251296.9468</v>
      </c>
      <c r="I7" s="534">
        <v>1399713.6526000001</v>
      </c>
      <c r="J7" s="533">
        <v>1203735.8302000002</v>
      </c>
      <c r="K7" s="532">
        <v>1342607.4648000002</v>
      </c>
      <c r="L7" s="533">
        <v>1339480.6536000001</v>
      </c>
      <c r="M7" s="532">
        <v>1203349.6486000002</v>
      </c>
      <c r="N7" s="532">
        <v>1349792.9476000001</v>
      </c>
      <c r="O7" s="535">
        <f t="shared" ref="O7:O27" si="0">SUM(C7:N7)</f>
        <v>15655542.2928</v>
      </c>
    </row>
    <row r="8" spans="1:15" x14ac:dyDescent="0.2">
      <c r="A8" s="505" t="s">
        <v>141</v>
      </c>
      <c r="B8" s="525">
        <v>2.47E-2</v>
      </c>
      <c r="C8" s="532">
        <v>875161.73029999994</v>
      </c>
      <c r="D8" s="533">
        <v>1011073.6038</v>
      </c>
      <c r="E8" s="532">
        <v>854004.27839999995</v>
      </c>
      <c r="F8" s="533">
        <v>942448.28469999996</v>
      </c>
      <c r="G8" s="532">
        <v>797131.41689999995</v>
      </c>
      <c r="H8" s="532">
        <v>853785.48580000002</v>
      </c>
      <c r="I8" s="532">
        <v>955053.23809999996</v>
      </c>
      <c r="J8" s="533">
        <v>821333.56369999994</v>
      </c>
      <c r="K8" s="532">
        <v>916088.51879999996</v>
      </c>
      <c r="L8" s="533">
        <v>913955.03159999999</v>
      </c>
      <c r="M8" s="532">
        <v>821070.06409999996</v>
      </c>
      <c r="N8" s="532">
        <v>920991.32059999998</v>
      </c>
      <c r="O8" s="535">
        <f t="shared" si="0"/>
        <v>10682096.536799997</v>
      </c>
    </row>
    <row r="9" spans="1:15" x14ac:dyDescent="0.2">
      <c r="A9" s="505" t="s">
        <v>142</v>
      </c>
      <c r="B9" s="525">
        <v>2.3300000000000001E-2</v>
      </c>
      <c r="C9" s="532">
        <v>825557.42170000006</v>
      </c>
      <c r="D9" s="533">
        <v>953765.78820000007</v>
      </c>
      <c r="E9" s="532">
        <v>805599.17760000005</v>
      </c>
      <c r="F9" s="533">
        <v>889030.16330000001</v>
      </c>
      <c r="G9" s="532">
        <v>751949.87910000002</v>
      </c>
      <c r="H9" s="532">
        <v>805392.78620000009</v>
      </c>
      <c r="I9" s="532">
        <v>900920.66590000002</v>
      </c>
      <c r="J9" s="533">
        <v>774780.24430000002</v>
      </c>
      <c r="K9" s="532">
        <v>864164.47320000001</v>
      </c>
      <c r="L9" s="533">
        <v>862151.91240000003</v>
      </c>
      <c r="M9" s="532">
        <v>774531.67989999999</v>
      </c>
      <c r="N9" s="532">
        <v>868789.38340000005</v>
      </c>
      <c r="O9" s="535">
        <f t="shared" si="0"/>
        <v>10076633.575200001</v>
      </c>
    </row>
    <row r="10" spans="1:15" x14ac:dyDescent="0.2">
      <c r="A10" s="505" t="s">
        <v>259</v>
      </c>
      <c r="B10" s="525">
        <v>2.81E-2</v>
      </c>
      <c r="C10" s="532">
        <v>995629.33689999999</v>
      </c>
      <c r="D10" s="533">
        <v>1150249.7274</v>
      </c>
      <c r="E10" s="532">
        <v>971559.52320000005</v>
      </c>
      <c r="F10" s="533">
        <v>1072178.0081</v>
      </c>
      <c r="G10" s="532">
        <v>906858.00870000001</v>
      </c>
      <c r="H10" s="532">
        <v>971310.61340000003</v>
      </c>
      <c r="I10" s="532">
        <v>1086518.0563000001</v>
      </c>
      <c r="J10" s="533">
        <v>934391.62509999995</v>
      </c>
      <c r="K10" s="532">
        <v>1042189.7724</v>
      </c>
      <c r="L10" s="533">
        <v>1039762.6068</v>
      </c>
      <c r="M10" s="532">
        <v>934091.85430000001</v>
      </c>
      <c r="N10" s="532">
        <v>1047767.4538</v>
      </c>
      <c r="O10" s="535">
        <f t="shared" si="0"/>
        <v>12152506.586399999</v>
      </c>
    </row>
    <row r="11" spans="1:15" x14ac:dyDescent="0.2">
      <c r="A11" s="505" t="s">
        <v>144</v>
      </c>
      <c r="B11" s="525">
        <v>4.6399999999999997E-2</v>
      </c>
      <c r="C11" s="532">
        <v>1644028.5135999999</v>
      </c>
      <c r="D11" s="533">
        <v>1899344.7455999998</v>
      </c>
      <c r="E11" s="532">
        <v>1604283.3407999999</v>
      </c>
      <c r="F11" s="533">
        <v>1770429.1664</v>
      </c>
      <c r="G11" s="532">
        <v>1497445.2527999999</v>
      </c>
      <c r="H11" s="532">
        <v>1603872.3295999998</v>
      </c>
      <c r="I11" s="532">
        <v>1794108.1072</v>
      </c>
      <c r="J11" s="533">
        <v>1542910.0144</v>
      </c>
      <c r="K11" s="532">
        <v>1720911.2255999998</v>
      </c>
      <c r="L11" s="533">
        <v>1716903.3791999999</v>
      </c>
      <c r="M11" s="532">
        <v>1542415.0192</v>
      </c>
      <c r="N11" s="532">
        <v>1730121.3472</v>
      </c>
      <c r="O11" s="535">
        <f t="shared" si="0"/>
        <v>20066772.441599999</v>
      </c>
    </row>
    <row r="12" spans="1:15" x14ac:dyDescent="0.2">
      <c r="A12" s="505" t="s">
        <v>260</v>
      </c>
      <c r="B12" s="525">
        <v>1.4999999999999999E-2</v>
      </c>
      <c r="C12" s="532">
        <v>531474.73499999999</v>
      </c>
      <c r="D12" s="533">
        <v>614012.30999999994</v>
      </c>
      <c r="E12" s="532">
        <v>518626.07999999996</v>
      </c>
      <c r="F12" s="533">
        <v>572337.01500000001</v>
      </c>
      <c r="G12" s="532">
        <v>484087.90499999997</v>
      </c>
      <c r="H12" s="532">
        <v>518493.20999999996</v>
      </c>
      <c r="I12" s="532">
        <v>579991.84499999997</v>
      </c>
      <c r="J12" s="533">
        <v>498785.565</v>
      </c>
      <c r="K12" s="532">
        <v>556329.05999999994</v>
      </c>
      <c r="L12" s="533">
        <v>555033.41999999993</v>
      </c>
      <c r="M12" s="532">
        <v>498625.54499999998</v>
      </c>
      <c r="N12" s="532">
        <v>559306.47</v>
      </c>
      <c r="O12" s="535">
        <f t="shared" si="0"/>
        <v>6487103.1599999992</v>
      </c>
    </row>
    <row r="13" spans="1:15" x14ac:dyDescent="0.2">
      <c r="A13" s="505" t="s">
        <v>146</v>
      </c>
      <c r="B13" s="525">
        <v>1.5299999999999999E-2</v>
      </c>
      <c r="C13" s="532">
        <v>542104.22970000003</v>
      </c>
      <c r="D13" s="533">
        <v>626292.55619999999</v>
      </c>
      <c r="E13" s="532">
        <v>528998.60159999994</v>
      </c>
      <c r="F13" s="533">
        <v>583783.75529999996</v>
      </c>
      <c r="G13" s="532">
        <v>493769.66310000001</v>
      </c>
      <c r="H13" s="532">
        <v>528863.07420000003</v>
      </c>
      <c r="I13" s="532">
        <v>591591.68189999997</v>
      </c>
      <c r="J13" s="533">
        <v>508761.27629999997</v>
      </c>
      <c r="K13" s="532">
        <v>567455.64119999995</v>
      </c>
      <c r="L13" s="533">
        <v>566134.08840000001</v>
      </c>
      <c r="M13" s="532">
        <v>508598.05589999998</v>
      </c>
      <c r="N13" s="532">
        <v>570492.59939999995</v>
      </c>
      <c r="O13" s="535">
        <f t="shared" si="0"/>
        <v>6616845.223199999</v>
      </c>
    </row>
    <row r="14" spans="1:15" x14ac:dyDescent="0.2">
      <c r="A14" s="505" t="s">
        <v>147</v>
      </c>
      <c r="B14" s="525">
        <v>3.1600000000000003E-2</v>
      </c>
      <c r="C14" s="532">
        <v>1119640.1084</v>
      </c>
      <c r="D14" s="533">
        <v>1293519.2664000001</v>
      </c>
      <c r="E14" s="532">
        <v>1092572.2752</v>
      </c>
      <c r="F14" s="533">
        <v>1205723.3116000001</v>
      </c>
      <c r="G14" s="532">
        <v>1019811.8532000001</v>
      </c>
      <c r="H14" s="532">
        <v>1092292.3624000002</v>
      </c>
      <c r="I14" s="532">
        <v>1221849.4868000001</v>
      </c>
      <c r="J14" s="533">
        <v>1050774.9236000001</v>
      </c>
      <c r="K14" s="532">
        <v>1171999.8864000002</v>
      </c>
      <c r="L14" s="533">
        <v>1169270.4048000001</v>
      </c>
      <c r="M14" s="532">
        <v>1050437.8148000001</v>
      </c>
      <c r="N14" s="532">
        <v>1178272.2968000001</v>
      </c>
      <c r="O14" s="535">
        <f t="shared" si="0"/>
        <v>13666163.9904</v>
      </c>
    </row>
    <row r="15" spans="1:15" x14ac:dyDescent="0.2">
      <c r="A15" s="505" t="s">
        <v>148</v>
      </c>
      <c r="B15" s="525">
        <v>2.81E-2</v>
      </c>
      <c r="C15" s="532">
        <v>995629.33689999999</v>
      </c>
      <c r="D15" s="533">
        <v>1150249.7274</v>
      </c>
      <c r="E15" s="532">
        <v>971559.52320000005</v>
      </c>
      <c r="F15" s="533">
        <v>1072178.0081</v>
      </c>
      <c r="G15" s="532">
        <v>906858.00870000001</v>
      </c>
      <c r="H15" s="532">
        <v>971310.61340000003</v>
      </c>
      <c r="I15" s="532">
        <v>1086518.0563000001</v>
      </c>
      <c r="J15" s="533">
        <v>934391.62509999995</v>
      </c>
      <c r="K15" s="532">
        <v>1042189.7724</v>
      </c>
      <c r="L15" s="533">
        <v>1039762.6068</v>
      </c>
      <c r="M15" s="532">
        <v>934091.85430000001</v>
      </c>
      <c r="N15" s="532">
        <v>1047767.4538</v>
      </c>
      <c r="O15" s="535">
        <f t="shared" si="0"/>
        <v>12152506.586399999</v>
      </c>
    </row>
    <row r="16" spans="1:15" x14ac:dyDescent="0.2">
      <c r="A16" s="505" t="s">
        <v>149</v>
      </c>
      <c r="B16" s="525">
        <v>1.6E-2</v>
      </c>
      <c r="C16" s="532">
        <v>566906.38399999996</v>
      </c>
      <c r="D16" s="533">
        <v>654946.46400000004</v>
      </c>
      <c r="E16" s="532">
        <v>553201.152</v>
      </c>
      <c r="F16" s="533">
        <v>610492.81599999999</v>
      </c>
      <c r="G16" s="532">
        <v>516360.43200000003</v>
      </c>
      <c r="H16" s="532">
        <v>553059.424</v>
      </c>
      <c r="I16" s="532">
        <v>618657.96799999999</v>
      </c>
      <c r="J16" s="533">
        <v>532037.93599999999</v>
      </c>
      <c r="K16" s="532">
        <v>593417.66399999999</v>
      </c>
      <c r="L16" s="533">
        <v>592035.64800000004</v>
      </c>
      <c r="M16" s="532">
        <v>531867.24800000002</v>
      </c>
      <c r="N16" s="532">
        <v>596593.56799999997</v>
      </c>
      <c r="O16" s="535">
        <f t="shared" si="0"/>
        <v>6919576.7039999999</v>
      </c>
    </row>
    <row r="17" spans="1:16" x14ac:dyDescent="0.2">
      <c r="A17" s="505" t="s">
        <v>150</v>
      </c>
      <c r="B17" s="525">
        <v>2.8400000000000002E-2</v>
      </c>
      <c r="C17" s="532">
        <v>1006258.8316</v>
      </c>
      <c r="D17" s="533">
        <v>1162529.9736000001</v>
      </c>
      <c r="E17" s="532">
        <v>981932.04480000003</v>
      </c>
      <c r="F17" s="533">
        <v>1083624.7484000002</v>
      </c>
      <c r="G17" s="532">
        <v>916539.7668000001</v>
      </c>
      <c r="H17" s="532">
        <v>981680.4776000001</v>
      </c>
      <c r="I17" s="532">
        <v>1098117.8932</v>
      </c>
      <c r="J17" s="533">
        <v>944367.33640000003</v>
      </c>
      <c r="K17" s="532">
        <v>1053316.3536</v>
      </c>
      <c r="L17" s="533">
        <v>1050863.2752</v>
      </c>
      <c r="M17" s="532">
        <v>944064.3652</v>
      </c>
      <c r="N17" s="532">
        <v>1058953.5832</v>
      </c>
      <c r="O17" s="535">
        <f t="shared" si="0"/>
        <v>12282248.649600001</v>
      </c>
    </row>
    <row r="18" spans="1:16" x14ac:dyDescent="0.2">
      <c r="A18" s="505" t="s">
        <v>151</v>
      </c>
      <c r="B18" s="525">
        <v>3.3300000000000003E-2</v>
      </c>
      <c r="C18" s="532">
        <v>1179873.9117000001</v>
      </c>
      <c r="D18" s="533">
        <v>1363107.3282000001</v>
      </c>
      <c r="E18" s="532">
        <v>1151349.8976</v>
      </c>
      <c r="F18" s="533">
        <v>1270588.1733000001</v>
      </c>
      <c r="G18" s="532">
        <v>1074675.1491</v>
      </c>
      <c r="H18" s="532">
        <v>1151054.9262000001</v>
      </c>
      <c r="I18" s="532">
        <v>1287581.8959000001</v>
      </c>
      <c r="J18" s="533">
        <v>1107303.9543000001</v>
      </c>
      <c r="K18" s="532">
        <v>1235050.5132000002</v>
      </c>
      <c r="L18" s="533">
        <v>1232174.1924000001</v>
      </c>
      <c r="M18" s="532">
        <v>1106948.7099000001</v>
      </c>
      <c r="N18" s="532">
        <v>1241660.3634000001</v>
      </c>
      <c r="O18" s="535">
        <f t="shared" si="0"/>
        <v>14401369.0152</v>
      </c>
    </row>
    <row r="19" spans="1:16" x14ac:dyDescent="0.2">
      <c r="A19" s="505" t="s">
        <v>152</v>
      </c>
      <c r="B19" s="525">
        <v>4.6899999999999997E-2</v>
      </c>
      <c r="C19" s="532">
        <v>1661744.3380999998</v>
      </c>
      <c r="D19" s="533">
        <v>1919811.8225999998</v>
      </c>
      <c r="E19" s="532">
        <v>1621570.8768</v>
      </c>
      <c r="F19" s="533">
        <v>1789507.0669</v>
      </c>
      <c r="G19" s="532">
        <v>1513581.5163</v>
      </c>
      <c r="H19" s="532">
        <v>1621155.4365999999</v>
      </c>
      <c r="I19" s="532">
        <v>1813441.1686999998</v>
      </c>
      <c r="J19" s="533">
        <v>1559536.1998999999</v>
      </c>
      <c r="K19" s="532">
        <v>1739455.5275999999</v>
      </c>
      <c r="L19" s="533">
        <v>1735404.4931999999</v>
      </c>
      <c r="M19" s="532">
        <v>1559035.8706999999</v>
      </c>
      <c r="N19" s="532">
        <v>1748764.8961999998</v>
      </c>
      <c r="O19" s="535">
        <f t="shared" si="0"/>
        <v>20283009.213600002</v>
      </c>
    </row>
    <row r="20" spans="1:16" x14ac:dyDescent="0.2">
      <c r="A20" s="505" t="s">
        <v>261</v>
      </c>
      <c r="B20" s="525">
        <v>2.1299999999999999E-2</v>
      </c>
      <c r="C20" s="532">
        <v>754694.1237</v>
      </c>
      <c r="D20" s="533">
        <v>871897.48019999999</v>
      </c>
      <c r="E20" s="532">
        <v>736449.03359999997</v>
      </c>
      <c r="F20" s="533">
        <v>812718.56129999994</v>
      </c>
      <c r="G20" s="532">
        <v>687404.82510000002</v>
      </c>
      <c r="H20" s="532">
        <v>736260.35820000002</v>
      </c>
      <c r="I20" s="532">
        <v>823588.41989999998</v>
      </c>
      <c r="J20" s="533">
        <v>708275.50229999993</v>
      </c>
      <c r="K20" s="532">
        <v>789987.26520000002</v>
      </c>
      <c r="L20" s="533">
        <v>788147.45640000002</v>
      </c>
      <c r="M20" s="532">
        <v>708048.27390000003</v>
      </c>
      <c r="N20" s="532">
        <v>794215.18739999994</v>
      </c>
      <c r="O20" s="535">
        <f t="shared" si="0"/>
        <v>9211686.4872000013</v>
      </c>
    </row>
    <row r="21" spans="1:16" x14ac:dyDescent="0.2">
      <c r="A21" s="505" t="s">
        <v>262</v>
      </c>
      <c r="B21" s="525">
        <v>2.81E-2</v>
      </c>
      <c r="C21" s="532">
        <v>995629.33689999999</v>
      </c>
      <c r="D21" s="533">
        <v>1150249.7274</v>
      </c>
      <c r="E21" s="532">
        <v>971559.52320000005</v>
      </c>
      <c r="F21" s="533">
        <v>1072178.0081</v>
      </c>
      <c r="G21" s="532">
        <v>906858.00870000001</v>
      </c>
      <c r="H21" s="532">
        <v>971310.61340000003</v>
      </c>
      <c r="I21" s="532">
        <v>1086518.0563000001</v>
      </c>
      <c r="J21" s="533">
        <v>934391.62509999995</v>
      </c>
      <c r="K21" s="532">
        <v>1042189.7724</v>
      </c>
      <c r="L21" s="533">
        <v>1039762.6068</v>
      </c>
      <c r="M21" s="532">
        <v>934091.85430000001</v>
      </c>
      <c r="N21" s="532">
        <v>1047767.4538</v>
      </c>
      <c r="O21" s="535">
        <f t="shared" si="0"/>
        <v>12152506.586399999</v>
      </c>
    </row>
    <row r="22" spans="1:16" x14ac:dyDescent="0.2">
      <c r="A22" s="505" t="s">
        <v>263</v>
      </c>
      <c r="B22" s="525">
        <v>8.3400000000000002E-2</v>
      </c>
      <c r="C22" s="532">
        <v>2954999.5266</v>
      </c>
      <c r="D22" s="533">
        <v>3413908.4435999999</v>
      </c>
      <c r="E22" s="532">
        <v>2883561.0048000002</v>
      </c>
      <c r="F22" s="533">
        <v>3182193.8034000001</v>
      </c>
      <c r="G22" s="532">
        <v>2691528.7518000002</v>
      </c>
      <c r="H22" s="532">
        <v>2882822.2475999999</v>
      </c>
      <c r="I22" s="532">
        <v>3224754.6581999999</v>
      </c>
      <c r="J22" s="533">
        <v>2773247.7414000002</v>
      </c>
      <c r="K22" s="532">
        <v>3093189.5736000002</v>
      </c>
      <c r="L22" s="533">
        <v>3085985.8152000001</v>
      </c>
      <c r="M22" s="532">
        <v>2772358.0301999999</v>
      </c>
      <c r="N22" s="532">
        <v>3109743.9731999999</v>
      </c>
      <c r="O22" s="535">
        <f t="shared" si="0"/>
        <v>36068293.569600001</v>
      </c>
    </row>
    <row r="23" spans="1:16" x14ac:dyDescent="0.2">
      <c r="A23" s="505" t="s">
        <v>156</v>
      </c>
      <c r="B23" s="525">
        <v>3.5000000000000003E-2</v>
      </c>
      <c r="C23" s="532">
        <v>1240107.7150000001</v>
      </c>
      <c r="D23" s="533">
        <v>1432695.3900000001</v>
      </c>
      <c r="E23" s="532">
        <v>1210127.52</v>
      </c>
      <c r="F23" s="533">
        <v>1335453.0350000001</v>
      </c>
      <c r="G23" s="532">
        <v>1129538.4450000001</v>
      </c>
      <c r="H23" s="532">
        <v>1209817.4900000002</v>
      </c>
      <c r="I23" s="532">
        <v>1353314.3050000002</v>
      </c>
      <c r="J23" s="533">
        <v>1163832.9850000001</v>
      </c>
      <c r="K23" s="532">
        <v>1298101.1400000001</v>
      </c>
      <c r="L23" s="533">
        <v>1295077.9800000002</v>
      </c>
      <c r="M23" s="532">
        <v>1163459.6050000002</v>
      </c>
      <c r="N23" s="532">
        <v>1305048.4300000002</v>
      </c>
      <c r="O23" s="535">
        <f t="shared" si="0"/>
        <v>15136574.040000001</v>
      </c>
    </row>
    <row r="24" spans="1:16" x14ac:dyDescent="0.2">
      <c r="A24" s="505" t="s">
        <v>157</v>
      </c>
      <c r="B24" s="525">
        <v>0.39</v>
      </c>
      <c r="C24" s="532">
        <v>13818343.110000001</v>
      </c>
      <c r="D24" s="533">
        <v>15964320.060000001</v>
      </c>
      <c r="E24" s="532">
        <v>13484278.08</v>
      </c>
      <c r="F24" s="533">
        <v>14880762.390000001</v>
      </c>
      <c r="G24" s="532">
        <v>12586285.530000001</v>
      </c>
      <c r="H24" s="532">
        <v>13480823.460000001</v>
      </c>
      <c r="I24" s="532">
        <v>15079787.970000001</v>
      </c>
      <c r="J24" s="533">
        <v>12968424.690000001</v>
      </c>
      <c r="K24" s="532">
        <v>14464555.560000001</v>
      </c>
      <c r="L24" s="533">
        <v>14430868.92</v>
      </c>
      <c r="M24" s="532">
        <v>12964264.17</v>
      </c>
      <c r="N24" s="532">
        <v>14541968.220000001</v>
      </c>
      <c r="O24" s="535">
        <f t="shared" si="0"/>
        <v>168664682.15999997</v>
      </c>
    </row>
    <row r="25" spans="1:16" x14ac:dyDescent="0.2">
      <c r="A25" s="505" t="s">
        <v>158</v>
      </c>
      <c r="B25" s="525">
        <v>3.7900000000000003E-2</v>
      </c>
      <c r="C25" s="532">
        <v>1342859.4971</v>
      </c>
      <c r="D25" s="533">
        <v>1551404.4366000001</v>
      </c>
      <c r="E25" s="532">
        <v>1310395.2288000002</v>
      </c>
      <c r="F25" s="533">
        <v>1446104.8579000002</v>
      </c>
      <c r="G25" s="532">
        <v>1223128.7733</v>
      </c>
      <c r="H25" s="532">
        <v>1310059.5106000002</v>
      </c>
      <c r="I25" s="532">
        <v>1465446.0617000002</v>
      </c>
      <c r="J25" s="533">
        <v>1260264.8609000002</v>
      </c>
      <c r="K25" s="532">
        <v>1405658.0916000002</v>
      </c>
      <c r="L25" s="533">
        <v>1402384.4412</v>
      </c>
      <c r="M25" s="532">
        <v>1259860.5437</v>
      </c>
      <c r="N25" s="532">
        <v>1413181.0142000001</v>
      </c>
      <c r="O25" s="535">
        <f t="shared" si="0"/>
        <v>16390747.317600001</v>
      </c>
    </row>
    <row r="26" spans="1:16" ht="13.5" thickBot="1" x14ac:dyDescent="0.25">
      <c r="A26" s="505" t="s">
        <v>159</v>
      </c>
      <c r="B26" s="525">
        <v>3.1E-2</v>
      </c>
      <c r="C26" s="532">
        <v>1098381.1189999999</v>
      </c>
      <c r="D26" s="533">
        <v>1268958.774</v>
      </c>
      <c r="E26" s="532">
        <v>1071827.2320000001</v>
      </c>
      <c r="F26" s="533">
        <v>1182829.831</v>
      </c>
      <c r="G26" s="532">
        <v>1000448.3369999999</v>
      </c>
      <c r="H26" s="532">
        <v>1071552.6340000001</v>
      </c>
      <c r="I26" s="538">
        <v>1198649.8130000001</v>
      </c>
      <c r="J26" s="533">
        <v>1030823.501</v>
      </c>
      <c r="K26" s="532">
        <v>1149746.7239999999</v>
      </c>
      <c r="L26" s="533">
        <v>1147069.068</v>
      </c>
      <c r="M26" s="532">
        <v>1030492.7929999999</v>
      </c>
      <c r="N26" s="532">
        <v>1155900.0379999999</v>
      </c>
      <c r="O26" s="535">
        <f t="shared" si="0"/>
        <v>13406679.864</v>
      </c>
    </row>
    <row r="27" spans="1:16" ht="13.5" thickBot="1" x14ac:dyDescent="0.25">
      <c r="A27" s="510" t="s">
        <v>264</v>
      </c>
      <c r="B27" s="526">
        <f t="shared" ref="B27:N27" si="1">SUM(B7:B26)</f>
        <v>1</v>
      </c>
      <c r="C27" s="540">
        <f t="shared" si="1"/>
        <v>35431649.000000007</v>
      </c>
      <c r="D27" s="540">
        <f t="shared" si="1"/>
        <v>40934153.999999993</v>
      </c>
      <c r="E27" s="540">
        <f t="shared" si="1"/>
        <v>34575072</v>
      </c>
      <c r="F27" s="540">
        <f t="shared" si="1"/>
        <v>38155801</v>
      </c>
      <c r="G27" s="540">
        <f t="shared" si="1"/>
        <v>32272527</v>
      </c>
      <c r="H27" s="540">
        <f t="shared" si="1"/>
        <v>34566214.000000007</v>
      </c>
      <c r="I27" s="540">
        <f t="shared" si="1"/>
        <v>38666123.000000007</v>
      </c>
      <c r="J27" s="540">
        <f t="shared" si="1"/>
        <v>33252371</v>
      </c>
      <c r="K27" s="540">
        <f t="shared" si="1"/>
        <v>37088604</v>
      </c>
      <c r="L27" s="540">
        <f t="shared" si="1"/>
        <v>37002228</v>
      </c>
      <c r="M27" s="540">
        <f t="shared" si="1"/>
        <v>33241703</v>
      </c>
      <c r="N27" s="540">
        <f t="shared" si="1"/>
        <v>37287098.000000007</v>
      </c>
      <c r="O27" s="540">
        <f t="shared" si="0"/>
        <v>432473544</v>
      </c>
    </row>
    <row r="28" spans="1:16" x14ac:dyDescent="0.2">
      <c r="A28" s="513"/>
      <c r="B28" s="513"/>
      <c r="C28" s="513"/>
      <c r="D28" s="513"/>
      <c r="E28" s="513"/>
      <c r="F28" s="513"/>
      <c r="G28" s="513"/>
      <c r="H28" s="513"/>
      <c r="I28" s="513"/>
      <c r="J28" s="513"/>
      <c r="K28" s="513"/>
      <c r="L28" s="513"/>
      <c r="M28" s="513"/>
      <c r="N28" s="513"/>
      <c r="O28" s="513"/>
      <c r="P28" s="509"/>
    </row>
    <row r="29" spans="1:16" x14ac:dyDescent="0.2">
      <c r="A29" s="514"/>
      <c r="M29" s="509"/>
      <c r="O29" s="509"/>
    </row>
    <row r="31" spans="1:16" x14ac:dyDescent="0.2">
      <c r="M31" s="509"/>
    </row>
    <row r="32" spans="1:16" x14ac:dyDescent="0.2">
      <c r="O32" s="509"/>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9" tint="0.39997558519241921"/>
  </sheetPr>
  <dimension ref="A1:T32"/>
  <sheetViews>
    <sheetView workbookViewId="0">
      <selection activeCell="C32" sqref="C32"/>
    </sheetView>
  </sheetViews>
  <sheetFormatPr baseColWidth="10" defaultRowHeight="12.75" x14ac:dyDescent="0.2"/>
  <cols>
    <col min="1" max="1" width="16.42578125" style="500" bestFit="1" customWidth="1"/>
    <col min="2" max="2" width="12.28515625" style="500" bestFit="1" customWidth="1"/>
    <col min="3" max="3" width="13.85546875" style="500" bestFit="1" customWidth="1"/>
    <col min="4" max="4" width="17" style="500" bestFit="1" customWidth="1"/>
    <col min="5" max="5" width="14.5703125" style="500" customWidth="1"/>
    <col min="6" max="10" width="13.28515625" style="500" bestFit="1" customWidth="1"/>
    <col min="11" max="11" width="11.5703125" style="500" customWidth="1"/>
    <col min="12" max="12" width="11.7109375" style="500" bestFit="1" customWidth="1"/>
    <col min="13" max="14" width="13.28515625" style="500" bestFit="1" customWidth="1"/>
    <col min="15" max="15" width="15.28515625" style="500" bestFit="1" customWidth="1"/>
    <col min="16" max="19" width="11.42578125" style="500"/>
    <col min="20" max="20" width="11.7109375" style="500" bestFit="1" customWidth="1"/>
    <col min="21" max="16384" width="11.42578125" style="500"/>
  </cols>
  <sheetData>
    <row r="1" spans="1:18" ht="15.75" x14ac:dyDescent="0.25">
      <c r="A1" s="1191" t="s">
        <v>254</v>
      </c>
      <c r="B1" s="1191"/>
      <c r="C1" s="1191"/>
      <c r="D1" s="1191"/>
      <c r="E1" s="1191"/>
      <c r="F1" s="1191"/>
      <c r="G1" s="1191"/>
      <c r="H1" s="1191"/>
      <c r="I1" s="1191"/>
      <c r="J1" s="1191"/>
      <c r="K1" s="1191"/>
      <c r="L1" s="1191"/>
      <c r="M1" s="1191"/>
      <c r="N1" s="1191"/>
      <c r="O1" s="1191"/>
    </row>
    <row r="2" spans="1:18" x14ac:dyDescent="0.2">
      <c r="A2" s="1192" t="s">
        <v>255</v>
      </c>
      <c r="B2" s="1192"/>
      <c r="C2" s="1192"/>
      <c r="D2" s="1192"/>
      <c r="E2" s="1192"/>
      <c r="F2" s="1192"/>
      <c r="G2" s="1192"/>
      <c r="H2" s="1192"/>
      <c r="I2" s="1192"/>
      <c r="J2" s="1192"/>
      <c r="K2" s="1192"/>
      <c r="L2" s="1192"/>
      <c r="M2" s="1192"/>
      <c r="N2" s="1192"/>
      <c r="O2" s="1192"/>
    </row>
    <row r="3" spans="1:18" x14ac:dyDescent="0.2">
      <c r="A3" s="1192" t="s">
        <v>256</v>
      </c>
      <c r="B3" s="1192"/>
      <c r="C3" s="1192"/>
      <c r="D3" s="1192"/>
      <c r="E3" s="1192"/>
      <c r="F3" s="1192"/>
      <c r="G3" s="1192"/>
      <c r="H3" s="1192"/>
      <c r="I3" s="1192"/>
      <c r="J3" s="1192"/>
      <c r="K3" s="1192"/>
      <c r="L3" s="1192"/>
      <c r="M3" s="1192"/>
      <c r="N3" s="1192"/>
      <c r="O3" s="1192"/>
    </row>
    <row r="4" spans="1:18" x14ac:dyDescent="0.2">
      <c r="A4" s="1193" t="s">
        <v>302</v>
      </c>
      <c r="B4" s="1193"/>
      <c r="C4" s="1193"/>
      <c r="D4" s="1193"/>
      <c r="E4" s="1193"/>
      <c r="F4" s="1193"/>
      <c r="G4" s="1193"/>
      <c r="H4" s="1193"/>
      <c r="I4" s="1193"/>
      <c r="J4" s="1193"/>
      <c r="K4" s="1193"/>
      <c r="L4" s="1193"/>
      <c r="M4" s="1193"/>
      <c r="N4" s="1193"/>
      <c r="O4" s="1193"/>
    </row>
    <row r="5" spans="1:18" ht="13.5" thickBot="1" x14ac:dyDescent="0.25">
      <c r="A5" s="500" t="s">
        <v>290</v>
      </c>
    </row>
    <row r="6" spans="1:18" ht="23.25" thickBot="1" x14ac:dyDescent="0.25">
      <c r="A6" s="527" t="s">
        <v>291</v>
      </c>
      <c r="B6" s="528" t="s">
        <v>257</v>
      </c>
      <c r="C6" s="527" t="s">
        <v>1</v>
      </c>
      <c r="D6" s="529" t="s">
        <v>2</v>
      </c>
      <c r="E6" s="527" t="s">
        <v>3</v>
      </c>
      <c r="F6" s="529" t="s">
        <v>4</v>
      </c>
      <c r="G6" s="527" t="s">
        <v>5</v>
      </c>
      <c r="H6" s="527" t="s">
        <v>6</v>
      </c>
      <c r="I6" s="527" t="s">
        <v>7</v>
      </c>
      <c r="J6" s="529" t="s">
        <v>8</v>
      </c>
      <c r="K6" s="527" t="s">
        <v>9</v>
      </c>
      <c r="L6" s="529" t="s">
        <v>10</v>
      </c>
      <c r="M6" s="527" t="s">
        <v>11</v>
      </c>
      <c r="N6" s="527" t="s">
        <v>12</v>
      </c>
      <c r="O6" s="530" t="s">
        <v>160</v>
      </c>
    </row>
    <row r="7" spans="1:18" x14ac:dyDescent="0.2">
      <c r="A7" s="505" t="s">
        <v>258</v>
      </c>
      <c r="B7" s="506">
        <f>'CUADRO 6 -FGP'!U8</f>
        <v>3.5382379979592633</v>
      </c>
      <c r="C7" s="532">
        <f>$C$32*B7/100</f>
        <v>2910721.4697859176</v>
      </c>
      <c r="D7" s="532">
        <f>$D$32*B7/100</f>
        <v>4449337.7109663663</v>
      </c>
      <c r="E7" s="532">
        <f>$E$32*B7/100</f>
        <v>3027800.3537586844</v>
      </c>
      <c r="F7" s="532">
        <f>$F$32*B7/100</f>
        <v>5293971.9784217477</v>
      </c>
      <c r="G7" s="532">
        <f>$G$32*B7/100</f>
        <v>4397421.896080846</v>
      </c>
      <c r="H7" s="532">
        <f>$H$32*B7/100</f>
        <v>4658896.0365701029</v>
      </c>
      <c r="I7" s="532">
        <f>$I$32*B7/100</f>
        <v>3232289.2971575977</v>
      </c>
      <c r="J7" s="532">
        <f>$J$32*B7/100</f>
        <v>3972363.5722608669</v>
      </c>
      <c r="K7" s="532">
        <f>$K$32*B7/100</f>
        <v>3162652.4486998036</v>
      </c>
      <c r="L7" s="532">
        <f>$L$32*B7/100</f>
        <v>1846251.7518681497</v>
      </c>
      <c r="M7" s="532">
        <f>$M$32*B7/100</f>
        <v>3307201.6167490166</v>
      </c>
      <c r="N7" s="532">
        <f>$N$32*B7/100</f>
        <v>3165886.5963796228</v>
      </c>
      <c r="O7" s="535">
        <f>SUM(C7:N7)</f>
        <v>43424794.728698723</v>
      </c>
      <c r="R7" s="757"/>
    </row>
    <row r="8" spans="1:18" x14ac:dyDescent="0.2">
      <c r="A8" s="505" t="s">
        <v>141</v>
      </c>
      <c r="B8" s="506">
        <f>'CUADRO 6 -FGP'!U9</f>
        <v>2.8741138571776528</v>
      </c>
      <c r="C8" s="532">
        <f t="shared" ref="C8:C26" si="0">$C$32*B8/100</f>
        <v>2364381.6259735185</v>
      </c>
      <c r="D8" s="532">
        <f t="shared" ref="D8:D26" si="1">$D$32*B8/100</f>
        <v>3614200.9604009576</v>
      </c>
      <c r="E8" s="532">
        <f t="shared" ref="E8:E26" si="2">$E$32*B8/100</f>
        <v>2459484.9070425434</v>
      </c>
      <c r="F8" s="532">
        <f t="shared" ref="F8:F26" si="3">$F$32*B8/100</f>
        <v>4300298.1233789008</v>
      </c>
      <c r="G8" s="532">
        <f t="shared" ref="G8:G26" si="4">$G$32*B8/100</f>
        <v>3572029.6980225639</v>
      </c>
      <c r="H8" s="532">
        <f t="shared" ref="H8:H26" si="5">$H$32*B8/100</f>
        <v>3784425.3737536008</v>
      </c>
      <c r="I8" s="532">
        <f t="shared" ref="I8:I26" si="6">$I$32*B8/100</f>
        <v>2625591.4567436697</v>
      </c>
      <c r="J8" s="532">
        <f t="shared" ref="J8:J26" si="7">$J$32*B8/100</f>
        <v>3226754.4453955996</v>
      </c>
      <c r="K8" s="532">
        <f t="shared" ref="K8:K26" si="8">$K$32*B8/100</f>
        <v>2569025.3831109283</v>
      </c>
      <c r="L8" s="532">
        <f t="shared" ref="L8:L26" si="9">$L$32*B8/100</f>
        <v>1499711.9320247206</v>
      </c>
      <c r="M8" s="532">
        <f t="shared" ref="M8:M26" si="10">$M$32*B8/100</f>
        <v>2686442.8002471877</v>
      </c>
      <c r="N8" s="532">
        <f t="shared" ref="N8:N26" si="11">$N$32*B8/100</f>
        <v>2571652.4841335532</v>
      </c>
      <c r="O8" s="535">
        <f t="shared" ref="O8:O26" si="12">SUM(C8:N8)</f>
        <v>35273999.190227747</v>
      </c>
      <c r="R8" s="757"/>
    </row>
    <row r="9" spans="1:18" x14ac:dyDescent="0.2">
      <c r="A9" s="505" t="s">
        <v>142</v>
      </c>
      <c r="B9" s="506">
        <f>'CUADRO 6 -FGP'!U10</f>
        <v>2.6500476658644221</v>
      </c>
      <c r="C9" s="532">
        <f t="shared" si="0"/>
        <v>2180054.2081783493</v>
      </c>
      <c r="D9" s="532">
        <f t="shared" si="1"/>
        <v>3332437.5077056992</v>
      </c>
      <c r="E9" s="532">
        <f t="shared" si="2"/>
        <v>2267743.2283553397</v>
      </c>
      <c r="F9" s="532">
        <f t="shared" si="3"/>
        <v>3965046.4702091338</v>
      </c>
      <c r="G9" s="532">
        <f t="shared" si="4"/>
        <v>3293553.9209774537</v>
      </c>
      <c r="H9" s="532">
        <f t="shared" si="5"/>
        <v>3489391.2095055608</v>
      </c>
      <c r="I9" s="532">
        <f t="shared" si="6"/>
        <v>2420900.0955479718</v>
      </c>
      <c r="J9" s="532">
        <f t="shared" si="7"/>
        <v>2975196.3600827185</v>
      </c>
      <c r="K9" s="532">
        <f t="shared" si="8"/>
        <v>2368743.9184281258</v>
      </c>
      <c r="L9" s="532">
        <f t="shared" si="9"/>
        <v>1382794.2463051409</v>
      </c>
      <c r="M9" s="532">
        <f t="shared" si="10"/>
        <v>2477007.4624894354</v>
      </c>
      <c r="N9" s="532">
        <f t="shared" si="11"/>
        <v>2371166.2104036547</v>
      </c>
      <c r="O9" s="535">
        <f t="shared" si="12"/>
        <v>32524034.838188585</v>
      </c>
      <c r="R9" s="757"/>
    </row>
    <row r="10" spans="1:18" x14ac:dyDescent="0.2">
      <c r="A10" s="505" t="s">
        <v>259</v>
      </c>
      <c r="B10" s="506">
        <f>'CUADRO 6 -FGP'!U11</f>
        <v>10.821341685981746</v>
      </c>
      <c r="C10" s="532">
        <f t="shared" si="0"/>
        <v>8902146.0951590426</v>
      </c>
      <c r="D10" s="532">
        <f t="shared" si="1"/>
        <v>13607847.655940888</v>
      </c>
      <c r="E10" s="532">
        <f t="shared" si="2"/>
        <v>9260219.9749866463</v>
      </c>
      <c r="F10" s="532">
        <f t="shared" si="3"/>
        <v>16191075.808794163</v>
      </c>
      <c r="G10" s="532">
        <f t="shared" si="4"/>
        <v>13449068.407030437</v>
      </c>
      <c r="H10" s="532">
        <f t="shared" si="5"/>
        <v>14248760.518729705</v>
      </c>
      <c r="I10" s="532">
        <f t="shared" si="6"/>
        <v>9885628.6469870359</v>
      </c>
      <c r="J10" s="532">
        <f t="shared" si="7"/>
        <v>12149070.679014506</v>
      </c>
      <c r="K10" s="532">
        <f t="shared" si="8"/>
        <v>9672651.4160796311</v>
      </c>
      <c r="L10" s="532">
        <f t="shared" si="9"/>
        <v>5646573.5365542984</v>
      </c>
      <c r="M10" s="532">
        <f t="shared" si="10"/>
        <v>10114740.37074778</v>
      </c>
      <c r="N10" s="532">
        <f t="shared" si="11"/>
        <v>9682542.7284013126</v>
      </c>
      <c r="O10" s="535">
        <f t="shared" si="12"/>
        <v>132810325.83842543</v>
      </c>
      <c r="R10" s="757"/>
    </row>
    <row r="11" spans="1:18" x14ac:dyDescent="0.2">
      <c r="A11" s="505" t="s">
        <v>144</v>
      </c>
      <c r="B11" s="506">
        <f>'CUADRO 6 -FGP'!U12</f>
        <v>5.6495036228011593</v>
      </c>
      <c r="C11" s="532">
        <f t="shared" si="0"/>
        <v>4647548.1575872162</v>
      </c>
      <c r="D11" s="532">
        <f t="shared" si="1"/>
        <v>7104256.2800094904</v>
      </c>
      <c r="E11" s="532">
        <f t="shared" si="2"/>
        <v>4834487.9789161263</v>
      </c>
      <c r="F11" s="532">
        <f t="shared" si="3"/>
        <v>8452883.5788750201</v>
      </c>
      <c r="G11" s="532">
        <f t="shared" si="4"/>
        <v>7021362.3128864244</v>
      </c>
      <c r="H11" s="532">
        <f t="shared" si="5"/>
        <v>7438857.9999529449</v>
      </c>
      <c r="I11" s="532">
        <f t="shared" si="6"/>
        <v>5160995.4177094623</v>
      </c>
      <c r="J11" s="532">
        <f t="shared" si="7"/>
        <v>6342671.8059991561</v>
      </c>
      <c r="K11" s="532">
        <f t="shared" si="8"/>
        <v>5049806.2812325852</v>
      </c>
      <c r="L11" s="532">
        <f t="shared" si="9"/>
        <v>2947909.6563877291</v>
      </c>
      <c r="M11" s="532">
        <f t="shared" si="10"/>
        <v>5280607.8974714959</v>
      </c>
      <c r="N11" s="532">
        <f t="shared" si="11"/>
        <v>5054970.2439293722</v>
      </c>
      <c r="O11" s="535">
        <f t="shared" si="12"/>
        <v>69336357.610957026</v>
      </c>
      <c r="R11" s="757"/>
    </row>
    <row r="12" spans="1:18" x14ac:dyDescent="0.2">
      <c r="A12" s="505" t="s">
        <v>260</v>
      </c>
      <c r="B12" s="506">
        <f>'CUADRO 6 -FGP'!U13</f>
        <v>5.2511692356964428</v>
      </c>
      <c r="C12" s="532">
        <f t="shared" si="0"/>
        <v>4319859.5019997628</v>
      </c>
      <c r="D12" s="532">
        <f t="shared" si="1"/>
        <v>6603350.4022415439</v>
      </c>
      <c r="E12" s="532">
        <f t="shared" si="2"/>
        <v>4493618.5973523268</v>
      </c>
      <c r="F12" s="532">
        <f t="shared" si="3"/>
        <v>7856888.8819127353</v>
      </c>
      <c r="G12" s="532">
        <f t="shared" si="4"/>
        <v>6526301.1110038729</v>
      </c>
      <c r="H12" s="532">
        <f t="shared" si="5"/>
        <v>6914360.0723454449</v>
      </c>
      <c r="I12" s="532">
        <f t="shared" si="6"/>
        <v>4797104.6967147151</v>
      </c>
      <c r="J12" s="532">
        <f t="shared" si="7"/>
        <v>5895463.6165482858</v>
      </c>
      <c r="K12" s="532">
        <f t="shared" si="8"/>
        <v>4693755.2678455058</v>
      </c>
      <c r="L12" s="532">
        <f t="shared" si="9"/>
        <v>2740058.867253257</v>
      </c>
      <c r="M12" s="532">
        <f t="shared" si="10"/>
        <v>4908283.5569948908</v>
      </c>
      <c r="N12" s="532">
        <f t="shared" si="11"/>
        <v>4698555.1306048129</v>
      </c>
      <c r="O12" s="535">
        <f t="shared" si="12"/>
        <v>64447599.702817149</v>
      </c>
      <c r="R12" s="757"/>
    </row>
    <row r="13" spans="1:18" x14ac:dyDescent="0.2">
      <c r="A13" s="505" t="s">
        <v>146</v>
      </c>
      <c r="B13" s="506">
        <f>'CUADRO 6 -FGP'!U14</f>
        <v>2.6896373379327465</v>
      </c>
      <c r="C13" s="532">
        <f t="shared" si="0"/>
        <v>2212622.5397992069</v>
      </c>
      <c r="D13" s="532">
        <f t="shared" si="1"/>
        <v>3382221.5586937852</v>
      </c>
      <c r="E13" s="532">
        <f t="shared" si="2"/>
        <v>2301621.5664328798</v>
      </c>
      <c r="F13" s="532">
        <f t="shared" si="3"/>
        <v>4024281.2121019904</v>
      </c>
      <c r="G13" s="532">
        <f t="shared" si="4"/>
        <v>3342757.0811131825</v>
      </c>
      <c r="H13" s="532">
        <f t="shared" si="5"/>
        <v>3541520.0279724384</v>
      </c>
      <c r="I13" s="532">
        <f t="shared" si="6"/>
        <v>2457066.4793181508</v>
      </c>
      <c r="J13" s="532">
        <f t="shared" si="7"/>
        <v>3019643.5033366974</v>
      </c>
      <c r="K13" s="532">
        <f t="shared" si="8"/>
        <v>2404131.1290630023</v>
      </c>
      <c r="L13" s="532">
        <f t="shared" si="9"/>
        <v>1403452.1278422752</v>
      </c>
      <c r="M13" s="532">
        <f t="shared" si="10"/>
        <v>2514012.0471291463</v>
      </c>
      <c r="N13" s="532">
        <f t="shared" si="11"/>
        <v>2406589.6082159169</v>
      </c>
      <c r="O13" s="535">
        <f t="shared" si="12"/>
        <v>33009918.881018668</v>
      </c>
      <c r="R13" s="757"/>
    </row>
    <row r="14" spans="1:18" x14ac:dyDescent="0.2">
      <c r="A14" s="505" t="s">
        <v>147</v>
      </c>
      <c r="B14" s="506">
        <f>'CUADRO 6 -FGP'!U15</f>
        <v>3.2966407951075851</v>
      </c>
      <c r="C14" s="532">
        <f t="shared" si="0"/>
        <v>2711972.2149912436</v>
      </c>
      <c r="D14" s="532">
        <f t="shared" si="1"/>
        <v>4145528.9942740588</v>
      </c>
      <c r="E14" s="532">
        <f t="shared" si="2"/>
        <v>2821056.7438931726</v>
      </c>
      <c r="F14" s="532">
        <f t="shared" si="3"/>
        <v>4932490.1270879628</v>
      </c>
      <c r="G14" s="532">
        <f t="shared" si="4"/>
        <v>4097158.0838487083</v>
      </c>
      <c r="H14" s="532">
        <f t="shared" si="5"/>
        <v>4340778.303545557</v>
      </c>
      <c r="I14" s="532">
        <f t="shared" si="6"/>
        <v>3011582.8174207634</v>
      </c>
      <c r="J14" s="532">
        <f t="shared" si="7"/>
        <v>3701123.5006993562</v>
      </c>
      <c r="K14" s="532">
        <f t="shared" si="8"/>
        <v>2946700.8972104508</v>
      </c>
      <c r="L14" s="532">
        <f t="shared" si="9"/>
        <v>1720186.3884673207</v>
      </c>
      <c r="M14" s="532">
        <f t="shared" si="10"/>
        <v>3081379.9901840561</v>
      </c>
      <c r="N14" s="532">
        <f t="shared" si="11"/>
        <v>2949714.2115168502</v>
      </c>
      <c r="O14" s="535">
        <f t="shared" si="12"/>
        <v>40459672.273139492</v>
      </c>
      <c r="R14" s="757"/>
    </row>
    <row r="15" spans="1:18" x14ac:dyDescent="0.2">
      <c r="A15" s="505" t="s">
        <v>148</v>
      </c>
      <c r="B15" s="506">
        <f>'CUADRO 6 -FGP'!U16</f>
        <v>2.9179725284992895</v>
      </c>
      <c r="C15" s="532">
        <f t="shared" si="0"/>
        <v>2400461.8377415799</v>
      </c>
      <c r="D15" s="532">
        <f t="shared" si="1"/>
        <v>3669353.2820867198</v>
      </c>
      <c r="E15" s="532">
        <f t="shared" si="2"/>
        <v>2497016.3847497045</v>
      </c>
      <c r="F15" s="532">
        <f t="shared" si="3"/>
        <v>4365920.2146914331</v>
      </c>
      <c r="G15" s="532">
        <f t="shared" si="4"/>
        <v>3626538.4907363425</v>
      </c>
      <c r="H15" s="532">
        <f t="shared" si="5"/>
        <v>3842175.3018555134</v>
      </c>
      <c r="I15" s="532">
        <f t="shared" si="6"/>
        <v>2665657.7027062769</v>
      </c>
      <c r="J15" s="532">
        <f t="shared" si="7"/>
        <v>3275994.3745316034</v>
      </c>
      <c r="K15" s="532">
        <f t="shared" si="8"/>
        <v>2608228.4368150877</v>
      </c>
      <c r="L15" s="532">
        <f t="shared" si="9"/>
        <v>1522597.376364215</v>
      </c>
      <c r="M15" s="532">
        <f t="shared" si="10"/>
        <v>2727437.6312300209</v>
      </c>
      <c r="N15" s="532">
        <f t="shared" si="11"/>
        <v>2610895.6271194895</v>
      </c>
      <c r="O15" s="535">
        <f t="shared" si="12"/>
        <v>35812276.660627984</v>
      </c>
      <c r="R15" s="757"/>
    </row>
    <row r="16" spans="1:18" x14ac:dyDescent="0.2">
      <c r="A16" s="505" t="s">
        <v>149</v>
      </c>
      <c r="B16" s="506">
        <f>'CUADRO 6 -FGP'!U17</f>
        <v>2.7163014877407865</v>
      </c>
      <c r="C16" s="532">
        <f t="shared" si="0"/>
        <v>2234557.7271338673</v>
      </c>
      <c r="D16" s="532">
        <f t="shared" si="1"/>
        <v>3415751.7529148054</v>
      </c>
      <c r="E16" s="532">
        <f t="shared" si="2"/>
        <v>2324439.0598485353</v>
      </c>
      <c r="F16" s="532">
        <f t="shared" si="3"/>
        <v>4064176.5673589348</v>
      </c>
      <c r="G16" s="532">
        <f t="shared" si="4"/>
        <v>3375896.0379255516</v>
      </c>
      <c r="H16" s="532">
        <f t="shared" si="5"/>
        <v>3576629.4530396149</v>
      </c>
      <c r="I16" s="532">
        <f t="shared" si="6"/>
        <v>2481425.0007324941</v>
      </c>
      <c r="J16" s="532">
        <f t="shared" si="7"/>
        <v>3049579.2220316678</v>
      </c>
      <c r="K16" s="532">
        <f t="shared" si="8"/>
        <v>2427964.8674185155</v>
      </c>
      <c r="L16" s="532">
        <f t="shared" si="9"/>
        <v>1417365.4749160341</v>
      </c>
      <c r="M16" s="532">
        <f t="shared" si="10"/>
        <v>2538935.1075352724</v>
      </c>
      <c r="N16" s="532">
        <f t="shared" si="11"/>
        <v>2430447.7190976096</v>
      </c>
      <c r="O16" s="535">
        <f t="shared" si="12"/>
        <v>33337167.989952907</v>
      </c>
      <c r="R16" s="757"/>
    </row>
    <row r="17" spans="1:20" x14ac:dyDescent="0.2">
      <c r="A17" s="505" t="s">
        <v>150</v>
      </c>
      <c r="B17" s="506">
        <f>'CUADRO 6 -FGP'!U18</f>
        <v>3.687422971777889</v>
      </c>
      <c r="C17" s="532">
        <f t="shared" si="0"/>
        <v>3033448.0660504354</v>
      </c>
      <c r="D17" s="532">
        <f t="shared" si="1"/>
        <v>4636937.9601026829</v>
      </c>
      <c r="E17" s="532">
        <f t="shared" si="2"/>
        <v>3155463.4212979632</v>
      </c>
      <c r="F17" s="532">
        <f t="shared" si="3"/>
        <v>5517185.0781207802</v>
      </c>
      <c r="G17" s="532">
        <f t="shared" si="4"/>
        <v>4582833.1857721126</v>
      </c>
      <c r="H17" s="532">
        <f t="shared" si="5"/>
        <v>4855332.026359451</v>
      </c>
      <c r="I17" s="532">
        <f t="shared" si="6"/>
        <v>3368574.3617713409</v>
      </c>
      <c r="J17" s="532">
        <f t="shared" si="7"/>
        <v>4139852.8581335526</v>
      </c>
      <c r="K17" s="532">
        <f t="shared" si="8"/>
        <v>3296001.3706854987</v>
      </c>
      <c r="L17" s="532">
        <f t="shared" si="9"/>
        <v>1924096.4359803835</v>
      </c>
      <c r="M17" s="532">
        <f t="shared" si="10"/>
        <v>3446645.2570276489</v>
      </c>
      <c r="N17" s="532">
        <f t="shared" si="11"/>
        <v>3299371.8817860996</v>
      </c>
      <c r="O17" s="535">
        <f t="shared" si="12"/>
        <v>45255741.903087951</v>
      </c>
      <c r="R17" s="757"/>
    </row>
    <row r="18" spans="1:20" x14ac:dyDescent="0.2">
      <c r="A18" s="505" t="s">
        <v>151</v>
      </c>
      <c r="B18" s="506">
        <f>'CUADRO 6 -FGP'!U19</f>
        <v>3.0199463386419172</v>
      </c>
      <c r="C18" s="532">
        <f t="shared" si="0"/>
        <v>2484350.3038959806</v>
      </c>
      <c r="D18" s="532">
        <f t="shared" si="1"/>
        <v>3797585.4471531194</v>
      </c>
      <c r="E18" s="532">
        <f t="shared" si="2"/>
        <v>2584279.1236050469</v>
      </c>
      <c r="F18" s="532">
        <f t="shared" si="3"/>
        <v>4518495.1668962697</v>
      </c>
      <c r="G18" s="532">
        <f t="shared" si="4"/>
        <v>3753274.415738171</v>
      </c>
      <c r="H18" s="532">
        <f t="shared" si="5"/>
        <v>3976447.0439433707</v>
      </c>
      <c r="I18" s="532">
        <f t="shared" si="6"/>
        <v>2758813.9164218334</v>
      </c>
      <c r="J18" s="532">
        <f t="shared" si="7"/>
        <v>3390479.903478174</v>
      </c>
      <c r="K18" s="532">
        <f t="shared" si="8"/>
        <v>2699377.6813082057</v>
      </c>
      <c r="L18" s="532">
        <f t="shared" si="9"/>
        <v>1575807.2864180566</v>
      </c>
      <c r="M18" s="532">
        <f t="shared" si="10"/>
        <v>2822752.8559165089</v>
      </c>
      <c r="N18" s="532">
        <f t="shared" si="11"/>
        <v>2702138.0813858528</v>
      </c>
      <c r="O18" s="535">
        <f t="shared" si="12"/>
        <v>37063801.226160593</v>
      </c>
      <c r="R18" s="757"/>
    </row>
    <row r="19" spans="1:20" x14ac:dyDescent="0.2">
      <c r="A19" s="505" t="s">
        <v>152</v>
      </c>
      <c r="B19" s="506">
        <f>'CUADRO 6 -FGP'!U20</f>
        <v>3.8781030658324118</v>
      </c>
      <c r="C19" s="532">
        <f t="shared" si="0"/>
        <v>3190310.5054752035</v>
      </c>
      <c r="D19" s="532">
        <f t="shared" si="1"/>
        <v>4876718.363144177</v>
      </c>
      <c r="E19" s="532">
        <f t="shared" si="2"/>
        <v>3318635.3889739686</v>
      </c>
      <c r="F19" s="532">
        <f t="shared" si="3"/>
        <v>5802483.8837267589</v>
      </c>
      <c r="G19" s="532">
        <f t="shared" si="4"/>
        <v>4819815.7802798124</v>
      </c>
      <c r="H19" s="532">
        <f t="shared" si="5"/>
        <v>5106405.7910287036</v>
      </c>
      <c r="I19" s="532">
        <f t="shared" si="6"/>
        <v>3542766.4956947565</v>
      </c>
      <c r="J19" s="532">
        <f t="shared" si="7"/>
        <v>4353928.5251786569</v>
      </c>
      <c r="K19" s="532">
        <f t="shared" si="8"/>
        <v>3466440.6872966671</v>
      </c>
      <c r="L19" s="532">
        <f t="shared" si="9"/>
        <v>2023593.2640336668</v>
      </c>
      <c r="M19" s="532">
        <f t="shared" si="10"/>
        <v>3624874.5100351321</v>
      </c>
      <c r="N19" s="532">
        <f t="shared" si="11"/>
        <v>3469985.4906817693</v>
      </c>
      <c r="O19" s="535">
        <f t="shared" si="12"/>
        <v>47595958.685549274</v>
      </c>
      <c r="R19" s="757"/>
    </row>
    <row r="20" spans="1:20" x14ac:dyDescent="0.2">
      <c r="A20" s="505" t="s">
        <v>261</v>
      </c>
      <c r="B20" s="506">
        <f>'CUADRO 6 -FGP'!U21</f>
        <v>2.6080136409914254</v>
      </c>
      <c r="C20" s="532">
        <f t="shared" si="0"/>
        <v>2145475.0366444071</v>
      </c>
      <c r="D20" s="532">
        <f t="shared" si="1"/>
        <v>3279579.6806971733</v>
      </c>
      <c r="E20" s="532">
        <f t="shared" si="2"/>
        <v>2231773.1677054437</v>
      </c>
      <c r="F20" s="532">
        <f t="shared" si="3"/>
        <v>3902154.4460020922</v>
      </c>
      <c r="G20" s="532">
        <f t="shared" si="4"/>
        <v>3241312.85029099</v>
      </c>
      <c r="H20" s="532">
        <f t="shared" si="5"/>
        <v>3434043.8439538819</v>
      </c>
      <c r="I20" s="532">
        <f t="shared" si="6"/>
        <v>2382500.7202680139</v>
      </c>
      <c r="J20" s="532">
        <f t="shared" si="7"/>
        <v>2928004.9531459035</v>
      </c>
      <c r="K20" s="532">
        <f t="shared" si="8"/>
        <v>2331171.8241343088</v>
      </c>
      <c r="L20" s="532">
        <f t="shared" si="9"/>
        <v>1360860.9020517019</v>
      </c>
      <c r="M20" s="532">
        <f t="shared" si="10"/>
        <v>2437718.133987898</v>
      </c>
      <c r="N20" s="532">
        <f t="shared" si="11"/>
        <v>2333555.694657099</v>
      </c>
      <c r="O20" s="535">
        <f t="shared" si="12"/>
        <v>32008151.25353891</v>
      </c>
      <c r="R20" s="757"/>
    </row>
    <row r="21" spans="1:20" x14ac:dyDescent="0.2">
      <c r="A21" s="505" t="s">
        <v>262</v>
      </c>
      <c r="B21" s="506">
        <f>'CUADRO 6 -FGP'!U22</f>
        <v>3.0247319555730168</v>
      </c>
      <c r="C21" s="532">
        <f t="shared" si="0"/>
        <v>2488287.1781129087</v>
      </c>
      <c r="D21" s="532">
        <f t="shared" si="1"/>
        <v>3803603.3650812125</v>
      </c>
      <c r="E21" s="532">
        <f t="shared" si="2"/>
        <v>2588374.3519772748</v>
      </c>
      <c r="F21" s="532">
        <f t="shared" si="3"/>
        <v>4525655.4884877829</v>
      </c>
      <c r="G21" s="532">
        <f t="shared" si="4"/>
        <v>3759222.1153251436</v>
      </c>
      <c r="H21" s="532">
        <f t="shared" si="5"/>
        <v>3982748.3983931565</v>
      </c>
      <c r="I21" s="532">
        <f t="shared" si="6"/>
        <v>2763185.7247613547</v>
      </c>
      <c r="J21" s="532">
        <f t="shared" si="7"/>
        <v>3395852.6936575966</v>
      </c>
      <c r="K21" s="532">
        <f t="shared" si="8"/>
        <v>2703655.3028572397</v>
      </c>
      <c r="L21" s="532">
        <f t="shared" si="9"/>
        <v>1578304.4202027</v>
      </c>
      <c r="M21" s="532">
        <f t="shared" si="10"/>
        <v>2827225.9863449321</v>
      </c>
      <c r="N21" s="532">
        <f t="shared" si="11"/>
        <v>2706420.0772567671</v>
      </c>
      <c r="O21" s="535">
        <f t="shared" si="12"/>
        <v>37122535.102458067</v>
      </c>
      <c r="R21" s="757"/>
    </row>
    <row r="22" spans="1:20" x14ac:dyDescent="0.2">
      <c r="A22" s="505" t="s">
        <v>263</v>
      </c>
      <c r="B22" s="506">
        <f>'CUADRO 6 -FGP'!U23</f>
        <v>7.0312960513371792</v>
      </c>
      <c r="C22" s="532">
        <f t="shared" si="0"/>
        <v>5784275.7860981235</v>
      </c>
      <c r="D22" s="532">
        <f t="shared" si="1"/>
        <v>8841861.5978425778</v>
      </c>
      <c r="E22" s="532">
        <f t="shared" si="2"/>
        <v>6016938.5676994417</v>
      </c>
      <c r="F22" s="532">
        <f t="shared" si="3"/>
        <v>10520344.953967417</v>
      </c>
      <c r="G22" s="532">
        <f t="shared" si="4"/>
        <v>8738692.8838055208</v>
      </c>
      <c r="H22" s="532">
        <f t="shared" si="5"/>
        <v>9258302.3879172504</v>
      </c>
      <c r="I22" s="532">
        <f t="shared" si="6"/>
        <v>6423305.3245688714</v>
      </c>
      <c r="J22" s="532">
        <f t="shared" si="7"/>
        <v>7894003.8279570416</v>
      </c>
      <c r="K22" s="532">
        <f t="shared" si="8"/>
        <v>6284920.8241844261</v>
      </c>
      <c r="L22" s="532">
        <f t="shared" si="9"/>
        <v>3668928.6193218739</v>
      </c>
      <c r="M22" s="532">
        <f t="shared" si="10"/>
        <v>6572173.4044559384</v>
      </c>
      <c r="N22" s="532">
        <f t="shared" si="11"/>
        <v>6291347.8225445338</v>
      </c>
      <c r="O22" s="535">
        <f t="shared" si="12"/>
        <v>86295096.000363007</v>
      </c>
      <c r="R22" s="757"/>
    </row>
    <row r="23" spans="1:20" x14ac:dyDescent="0.2">
      <c r="A23" s="505" t="s">
        <v>156</v>
      </c>
      <c r="B23" s="506">
        <f>'CUADRO 6 -FGP'!U24</f>
        <v>3.4747933905881783</v>
      </c>
      <c r="C23" s="532">
        <f t="shared" si="0"/>
        <v>2858528.9431883097</v>
      </c>
      <c r="D23" s="532">
        <f t="shared" si="1"/>
        <v>4369556.0557197612</v>
      </c>
      <c r="E23" s="532">
        <f t="shared" si="2"/>
        <v>2973508.470410801</v>
      </c>
      <c r="F23" s="532">
        <f t="shared" si="3"/>
        <v>5199045.0758792348</v>
      </c>
      <c r="G23" s="532">
        <f t="shared" si="4"/>
        <v>4318571.1500872821</v>
      </c>
      <c r="H23" s="532">
        <f t="shared" si="5"/>
        <v>4575356.7636344275</v>
      </c>
      <c r="I23" s="532">
        <f t="shared" si="6"/>
        <v>3174330.6958746416</v>
      </c>
      <c r="J23" s="532">
        <f t="shared" si="7"/>
        <v>3901134.6025525965</v>
      </c>
      <c r="K23" s="532">
        <f t="shared" si="8"/>
        <v>3105942.5148359169</v>
      </c>
      <c r="L23" s="532">
        <f t="shared" si="9"/>
        <v>1813146.3707227854</v>
      </c>
      <c r="M23" s="532">
        <f t="shared" si="10"/>
        <v>3247899.7528855121</v>
      </c>
      <c r="N23" s="532">
        <f t="shared" si="11"/>
        <v>3109118.6705915518</v>
      </c>
      <c r="O23" s="535">
        <f t="shared" si="12"/>
        <v>42646139.066382825</v>
      </c>
      <c r="R23" s="757"/>
    </row>
    <row r="24" spans="1:20" x14ac:dyDescent="0.2">
      <c r="A24" s="505" t="s">
        <v>157</v>
      </c>
      <c r="B24" s="506">
        <f>'CUADRO 6 -FGP'!U25</f>
        <v>22.15163445687357</v>
      </c>
      <c r="C24" s="532">
        <f t="shared" si="0"/>
        <v>18222979.359121606</v>
      </c>
      <c r="D24" s="532">
        <f t="shared" si="1"/>
        <v>27855701.794326916</v>
      </c>
      <c r="E24" s="532">
        <f t="shared" si="2"/>
        <v>18955968.107159268</v>
      </c>
      <c r="F24" s="532">
        <f t="shared" si="3"/>
        <v>33143652.902537309</v>
      </c>
      <c r="G24" s="532">
        <f t="shared" si="4"/>
        <v>27530675.56530048</v>
      </c>
      <c r="H24" s="532">
        <f t="shared" si="5"/>
        <v>29167671.036883764</v>
      </c>
      <c r="I24" s="532">
        <f t="shared" si="6"/>
        <v>20236199.772541203</v>
      </c>
      <c r="J24" s="532">
        <f t="shared" si="7"/>
        <v>24869538.406764999</v>
      </c>
      <c r="K24" s="532">
        <f t="shared" si="8"/>
        <v>19800228.531303205</v>
      </c>
      <c r="L24" s="532">
        <f t="shared" si="9"/>
        <v>11558717.62903852</v>
      </c>
      <c r="M24" s="532">
        <f t="shared" si="10"/>
        <v>20705198.83955216</v>
      </c>
      <c r="N24" s="532">
        <f t="shared" si="11"/>
        <v>19820476.365740635</v>
      </c>
      <c r="O24" s="535">
        <f t="shared" si="12"/>
        <v>271867008.31027001</v>
      </c>
      <c r="R24" s="757"/>
      <c r="T24" s="509"/>
    </row>
    <row r="25" spans="1:20" x14ac:dyDescent="0.2">
      <c r="A25" s="505" t="s">
        <v>158</v>
      </c>
      <c r="B25" s="506">
        <f>'CUADRO 6 -FGP'!U26</f>
        <v>3.6736649788182838</v>
      </c>
      <c r="C25" s="532">
        <f t="shared" si="0"/>
        <v>3022130.0921007516</v>
      </c>
      <c r="D25" s="532">
        <f t="shared" si="1"/>
        <v>4619637.2706245622</v>
      </c>
      <c r="E25" s="532">
        <f t="shared" si="2"/>
        <v>3143690.2008492178</v>
      </c>
      <c r="F25" s="532">
        <f t="shared" si="3"/>
        <v>5496600.1346405838</v>
      </c>
      <c r="G25" s="532">
        <f t="shared" si="4"/>
        <v>4565734.3644035142</v>
      </c>
      <c r="H25" s="532">
        <f t="shared" si="5"/>
        <v>4837216.4957174668</v>
      </c>
      <c r="I25" s="532">
        <f t="shared" si="6"/>
        <v>3356006.0118131554</v>
      </c>
      <c r="J25" s="532">
        <f t="shared" si="7"/>
        <v>4124406.8225385253</v>
      </c>
      <c r="K25" s="532">
        <f t="shared" si="8"/>
        <v>3283703.794844646</v>
      </c>
      <c r="L25" s="532">
        <f t="shared" si="9"/>
        <v>1916917.5185026699</v>
      </c>
      <c r="M25" s="532">
        <f t="shared" si="10"/>
        <v>3433785.6199468561</v>
      </c>
      <c r="N25" s="532">
        <f t="shared" si="11"/>
        <v>3287061.7303692019</v>
      </c>
      <c r="O25" s="535">
        <f t="shared" si="12"/>
        <v>45086890.056351148</v>
      </c>
      <c r="R25" s="757"/>
      <c r="T25" s="509"/>
    </row>
    <row r="26" spans="1:20" ht="13.5" thickBot="1" x14ac:dyDescent="0.25">
      <c r="A26" s="505" t="s">
        <v>159</v>
      </c>
      <c r="B26" s="506">
        <f>'CUADRO 6 -FGP'!U27</f>
        <v>5.0454269348050316</v>
      </c>
      <c r="C26" s="532">
        <f t="shared" si="0"/>
        <v>4150606.1807723087</v>
      </c>
      <c r="D26" s="532">
        <f t="shared" si="1"/>
        <v>6344629.2595074689</v>
      </c>
      <c r="E26" s="532">
        <f t="shared" si="2"/>
        <v>4317557.3454576172</v>
      </c>
      <c r="F26" s="532">
        <f t="shared" si="3"/>
        <v>7549053.7458016668</v>
      </c>
      <c r="G26" s="532">
        <f t="shared" si="4"/>
        <v>6270598.781366419</v>
      </c>
      <c r="H26" s="532">
        <f t="shared" si="5"/>
        <v>6643453.4824748207</v>
      </c>
      <c r="I26" s="532">
        <f t="shared" si="6"/>
        <v>4609152.7733202325</v>
      </c>
      <c r="J26" s="532">
        <f t="shared" si="7"/>
        <v>5664477.6789698759</v>
      </c>
      <c r="K26" s="532">
        <f t="shared" si="8"/>
        <v>4509852.6044038013</v>
      </c>
      <c r="L26" s="532">
        <f t="shared" si="9"/>
        <v>2632702.583229051</v>
      </c>
      <c r="M26" s="532">
        <f t="shared" si="10"/>
        <v>4715975.6143030236</v>
      </c>
      <c r="N26" s="532">
        <f t="shared" si="11"/>
        <v>4514464.4071780387</v>
      </c>
      <c r="O26" s="535">
        <f t="shared" si="12"/>
        <v>61922524.456784323</v>
      </c>
      <c r="R26" s="757"/>
      <c r="T26" s="509"/>
    </row>
    <row r="27" spans="1:20" ht="13.5" thickBot="1" x14ac:dyDescent="0.25">
      <c r="A27" s="510" t="s">
        <v>264</v>
      </c>
      <c r="B27" s="549">
        <f>SUM(B7:B26)</f>
        <v>100</v>
      </c>
      <c r="C27" s="540">
        <f>SUM(C7:C26)</f>
        <v>82264716.829809725</v>
      </c>
      <c r="D27" s="540">
        <f t="shared" ref="D27:N27" si="13">SUM(D7:D26)</f>
        <v>125750096.89943396</v>
      </c>
      <c r="E27" s="540">
        <f t="shared" si="13"/>
        <v>85573676.940471992</v>
      </c>
      <c r="F27" s="540">
        <f t="shared" si="13"/>
        <v>149621703.83889189</v>
      </c>
      <c r="G27" s="540">
        <f t="shared" si="13"/>
        <v>124282818.13199483</v>
      </c>
      <c r="H27" s="540">
        <f t="shared" si="13"/>
        <v>131672771.56757675</v>
      </c>
      <c r="I27" s="540">
        <f t="shared" si="13"/>
        <v>91353077.408073515</v>
      </c>
      <c r="J27" s="540">
        <f t="shared" si="13"/>
        <v>112269541.35227738</v>
      </c>
      <c r="K27" s="540">
        <f t="shared" si="13"/>
        <v>89384955.18175754</v>
      </c>
      <c r="L27" s="540">
        <f t="shared" si="13"/>
        <v>52179976.387484543</v>
      </c>
      <c r="M27" s="540">
        <f t="shared" si="13"/>
        <v>93470298.455233902</v>
      </c>
      <c r="N27" s="540">
        <f t="shared" si="13"/>
        <v>89476360.781993732</v>
      </c>
      <c r="O27" s="540">
        <f>SUM(C27:N27)</f>
        <v>1227299993.7749999</v>
      </c>
      <c r="T27" s="509"/>
    </row>
    <row r="28" spans="1:20" x14ac:dyDescent="0.2">
      <c r="A28" s="513"/>
      <c r="B28" s="513"/>
      <c r="C28" s="513"/>
      <c r="D28" s="513"/>
      <c r="E28" s="513"/>
      <c r="F28" s="513"/>
      <c r="G28" s="513"/>
      <c r="H28" s="513"/>
      <c r="I28" s="513"/>
      <c r="J28" s="513"/>
      <c r="K28" s="513"/>
      <c r="L28" s="513"/>
      <c r="M28" s="513"/>
      <c r="N28" s="513"/>
      <c r="O28" s="513"/>
      <c r="T28" s="509"/>
    </row>
    <row r="29" spans="1:20" ht="13.5" thickBot="1" x14ac:dyDescent="0.25">
      <c r="A29" s="514" t="s">
        <v>265</v>
      </c>
    </row>
    <row r="30" spans="1:20" ht="13.5" thickBot="1" x14ac:dyDescent="0.25">
      <c r="A30" s="550" t="s">
        <v>303</v>
      </c>
      <c r="B30" s="551"/>
      <c r="C30" s="540">
        <f>'X22.55 POE'!B13</f>
        <v>161784700.80480975</v>
      </c>
      <c r="D30" s="540">
        <f>'X22.55 POE'!C13</f>
        <v>219156201.12443399</v>
      </c>
      <c r="E30" s="540">
        <f>'X22.55 POE'!D13</f>
        <v>163185033.84047201</v>
      </c>
      <c r="F30" s="540">
        <f>'X22.55 POE'!E13</f>
        <v>235211646.91389194</v>
      </c>
      <c r="G30" s="540">
        <f>'X22.55 POE'!F13</f>
        <v>196763642.45699483</v>
      </c>
      <c r="H30" s="540">
        <f>'X22.55 POE'!G13</f>
        <v>201244398.54257679</v>
      </c>
      <c r="I30" s="540">
        <f>'X22.55 POE'!H13</f>
        <v>178080120.30807355</v>
      </c>
      <c r="J30" s="540">
        <f>'X22.55 POE'!I13</f>
        <v>186933654.30227739</v>
      </c>
      <c r="K30" s="540">
        <f>'X22.55 POE'!J13</f>
        <v>172596967.75675756</v>
      </c>
      <c r="L30" s="540">
        <f>'X22.55 POE'!K13</f>
        <v>147630343.76248455</v>
      </c>
      <c r="M30" s="540">
        <f>'X22.55 POE'!L13</f>
        <v>168110642.40523392</v>
      </c>
      <c r="N30" s="540">
        <f>'X22.55 POE'!M13</f>
        <v>173130657.65699375</v>
      </c>
      <c r="O30" s="552">
        <f>SUM(C30:N30)</f>
        <v>2203828009.875</v>
      </c>
    </row>
    <row r="31" spans="1:20" x14ac:dyDescent="0.2">
      <c r="A31" s="553" t="s">
        <v>304</v>
      </c>
      <c r="B31" s="554"/>
      <c r="C31" s="555">
        <f>'F.G.P. ESTIMACIONES 2014'!C27</f>
        <v>79519983.975000009</v>
      </c>
      <c r="D31" s="555">
        <f>'F.G.P. ESTIMACIONES 2014'!D27</f>
        <v>93406104.225000024</v>
      </c>
      <c r="E31" s="555">
        <f>'F.G.P. ESTIMACIONES 2014'!E27</f>
        <v>77611356.900000006</v>
      </c>
      <c r="F31" s="555">
        <f>'F.G.P. ESTIMACIONES 2014'!F27</f>
        <v>85589943.075000003</v>
      </c>
      <c r="G31" s="555">
        <f>'F.G.P. ESTIMACIONES 2014'!G27</f>
        <v>72480824.325000003</v>
      </c>
      <c r="H31" s="555">
        <f>'F.G.P. ESTIMACIONES 2014'!H27</f>
        <v>69571626.975000009</v>
      </c>
      <c r="I31" s="555">
        <f>'F.G.P. ESTIMACIONES 2014'!I27</f>
        <v>86727042.900000006</v>
      </c>
      <c r="J31" s="555">
        <f>'F.G.P. ESTIMACIONES 2014'!J27</f>
        <v>74664112.950000003</v>
      </c>
      <c r="K31" s="555">
        <f>'F.G.P. ESTIMACIONES 2014'!K27</f>
        <v>83212012.575000003</v>
      </c>
      <c r="L31" s="555">
        <f>'F.G.P. ESTIMACIONES 2014'!L27</f>
        <v>95450367.375</v>
      </c>
      <c r="M31" s="555">
        <f>'F.G.P. ESTIMACIONES 2014'!M27</f>
        <v>74640343.950000003</v>
      </c>
      <c r="N31" s="555">
        <f>'F.G.P. ESTIMACIONES 2014'!N27</f>
        <v>83654296.875</v>
      </c>
      <c r="O31" s="556">
        <f>SUM(C31:N31)</f>
        <v>976528016.10000026</v>
      </c>
    </row>
    <row r="32" spans="1:20" ht="13.5" thickBot="1" x14ac:dyDescent="0.25">
      <c r="A32" s="557" t="s">
        <v>290</v>
      </c>
      <c r="B32" s="558"/>
      <c r="C32" s="559">
        <f>C30-C31</f>
        <v>82264716.82980974</v>
      </c>
      <c r="D32" s="559">
        <f t="shared" ref="D32:N32" si="14">D30-D31</f>
        <v>125750096.89943397</v>
      </c>
      <c r="E32" s="559">
        <f t="shared" si="14"/>
        <v>85573676.940472007</v>
      </c>
      <c r="F32" s="559">
        <f t="shared" si="14"/>
        <v>149621703.83889192</v>
      </c>
      <c r="G32" s="559">
        <f t="shared" si="14"/>
        <v>124282818.13199483</v>
      </c>
      <c r="H32" s="559">
        <f t="shared" si="14"/>
        <v>131672771.56757678</v>
      </c>
      <c r="I32" s="559">
        <f t="shared" si="14"/>
        <v>91353077.408073545</v>
      </c>
      <c r="J32" s="559">
        <f t="shared" si="14"/>
        <v>112269541.35227738</v>
      </c>
      <c r="K32" s="559">
        <f t="shared" si="14"/>
        <v>89384955.181757554</v>
      </c>
      <c r="L32" s="559">
        <f t="shared" si="14"/>
        <v>52179976.38748455</v>
      </c>
      <c r="M32" s="559">
        <f t="shared" si="14"/>
        <v>93470298.455233917</v>
      </c>
      <c r="N32" s="559">
        <f t="shared" si="14"/>
        <v>89476360.781993747</v>
      </c>
      <c r="O32" s="560">
        <f>O30-O31</f>
        <v>1227299993.7749996</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9" tint="0.39997558519241921"/>
  </sheetPr>
  <dimension ref="A1:T29"/>
  <sheetViews>
    <sheetView workbookViewId="0">
      <selection activeCell="F16" sqref="F16"/>
    </sheetView>
  </sheetViews>
  <sheetFormatPr baseColWidth="10" defaultRowHeight="12.75" x14ac:dyDescent="0.2"/>
  <cols>
    <col min="1" max="1" width="16.42578125" style="500" bestFit="1" customWidth="1"/>
    <col min="2" max="2" width="9.140625" style="500" bestFit="1" customWidth="1"/>
    <col min="3" max="3" width="10.85546875" style="500" bestFit="1" customWidth="1"/>
    <col min="4" max="4" width="11.7109375" style="500" bestFit="1" customWidth="1"/>
    <col min="5" max="10" width="10.85546875" style="500" bestFit="1" customWidth="1"/>
    <col min="11" max="11" width="11.5703125" style="500" customWidth="1"/>
    <col min="12" max="12" width="11.28515625" style="500" customWidth="1"/>
    <col min="13" max="14" width="10.85546875" style="500" bestFit="1" customWidth="1"/>
    <col min="15" max="15" width="11.7109375" style="500" bestFit="1" customWidth="1"/>
    <col min="16" max="19" width="11.42578125" style="500"/>
    <col min="20" max="20" width="11.7109375" style="500" bestFit="1" customWidth="1"/>
    <col min="21" max="16384" width="11.42578125" style="500"/>
  </cols>
  <sheetData>
    <row r="1" spans="1:15" ht="15.75" x14ac:dyDescent="0.25">
      <c r="A1" s="1191" t="s">
        <v>254</v>
      </c>
      <c r="B1" s="1191"/>
      <c r="C1" s="1191"/>
      <c r="D1" s="1191"/>
      <c r="E1" s="1191"/>
      <c r="F1" s="1191"/>
      <c r="G1" s="1191"/>
      <c r="H1" s="1191"/>
      <c r="I1" s="1191"/>
      <c r="J1" s="1191"/>
      <c r="K1" s="1191"/>
      <c r="L1" s="1191"/>
      <c r="M1" s="1191"/>
      <c r="N1" s="1191"/>
      <c r="O1" s="1191"/>
    </row>
    <row r="2" spans="1:15" x14ac:dyDescent="0.2">
      <c r="A2" s="1192" t="s">
        <v>255</v>
      </c>
      <c r="B2" s="1192"/>
      <c r="C2" s="1192"/>
      <c r="D2" s="1192"/>
      <c r="E2" s="1192"/>
      <c r="F2" s="1192"/>
      <c r="G2" s="1192"/>
      <c r="H2" s="1192"/>
      <c r="I2" s="1192"/>
      <c r="J2" s="1192"/>
      <c r="K2" s="1192"/>
      <c r="L2" s="1192"/>
      <c r="M2" s="1192"/>
      <c r="N2" s="1192"/>
      <c r="O2" s="1192"/>
    </row>
    <row r="3" spans="1:15" x14ac:dyDescent="0.2">
      <c r="A3" s="1192" t="s">
        <v>256</v>
      </c>
      <c r="B3" s="1192"/>
      <c r="C3" s="1192"/>
      <c r="D3" s="1192"/>
      <c r="E3" s="1192"/>
      <c r="F3" s="1192"/>
      <c r="G3" s="1192"/>
      <c r="H3" s="1192"/>
      <c r="I3" s="1192"/>
      <c r="J3" s="1192"/>
      <c r="K3" s="1192"/>
      <c r="L3" s="1192"/>
      <c r="M3" s="1192"/>
      <c r="N3" s="1192"/>
      <c r="O3" s="1192"/>
    </row>
    <row r="4" spans="1:15" x14ac:dyDescent="0.2">
      <c r="A4" s="1193" t="s">
        <v>305</v>
      </c>
      <c r="B4" s="1193"/>
      <c r="C4" s="1193"/>
      <c r="D4" s="1193"/>
      <c r="E4" s="1193"/>
      <c r="F4" s="1193"/>
      <c r="G4" s="1193"/>
      <c r="H4" s="1193"/>
      <c r="I4" s="1193"/>
      <c r="J4" s="1193"/>
      <c r="K4" s="1193"/>
      <c r="L4" s="1193"/>
      <c r="M4" s="1193"/>
      <c r="N4" s="1193"/>
      <c r="O4" s="1193"/>
    </row>
    <row r="5" spans="1:15" ht="13.5" thickBot="1" x14ac:dyDescent="0.25"/>
    <row r="6" spans="1:15" ht="23.25" thickBot="1" x14ac:dyDescent="0.25">
      <c r="A6" s="527" t="s">
        <v>291</v>
      </c>
      <c r="B6" s="528" t="s">
        <v>257</v>
      </c>
      <c r="C6" s="527" t="s">
        <v>1</v>
      </c>
      <c r="D6" s="529" t="s">
        <v>2</v>
      </c>
      <c r="E6" s="527" t="s">
        <v>3</v>
      </c>
      <c r="F6" s="529" t="s">
        <v>4</v>
      </c>
      <c r="G6" s="527" t="s">
        <v>5</v>
      </c>
      <c r="H6" s="527" t="s">
        <v>6</v>
      </c>
      <c r="I6" s="527" t="s">
        <v>7</v>
      </c>
      <c r="J6" s="529" t="s">
        <v>8</v>
      </c>
      <c r="K6" s="527" t="s">
        <v>9</v>
      </c>
      <c r="L6" s="529" t="s">
        <v>10</v>
      </c>
      <c r="M6" s="527" t="s">
        <v>11</v>
      </c>
      <c r="N6" s="527" t="s">
        <v>12</v>
      </c>
      <c r="O6" s="530" t="s">
        <v>160</v>
      </c>
    </row>
    <row r="7" spans="1:15" x14ac:dyDescent="0.2">
      <c r="A7" s="505" t="s">
        <v>258</v>
      </c>
      <c r="B7" s="525">
        <v>3.6200000000000003E-2</v>
      </c>
      <c r="C7" s="532">
        <v>2878623.4198950008</v>
      </c>
      <c r="D7" s="533">
        <v>3381300.9729450005</v>
      </c>
      <c r="E7" s="532">
        <v>2809531.1197800003</v>
      </c>
      <c r="F7" s="533">
        <v>3098355.9393150005</v>
      </c>
      <c r="G7" s="532">
        <v>2623805.8405650002</v>
      </c>
      <c r="H7" s="532">
        <v>2518492.8964950005</v>
      </c>
      <c r="I7" s="534">
        <v>3139518.9529800005</v>
      </c>
      <c r="J7" s="533">
        <v>2702840.8887900002</v>
      </c>
      <c r="K7" s="532">
        <v>3012274.8552150005</v>
      </c>
      <c r="L7" s="533">
        <v>3455303.2989750002</v>
      </c>
      <c r="M7" s="532">
        <v>2701980.4509900003</v>
      </c>
      <c r="N7" s="532">
        <v>3028285.5468750005</v>
      </c>
      <c r="O7" s="535">
        <f>SUM(C7:N7)</f>
        <v>35350314.182820007</v>
      </c>
    </row>
    <row r="8" spans="1:15" x14ac:dyDescent="0.2">
      <c r="A8" s="505" t="s">
        <v>141</v>
      </c>
      <c r="B8" s="525">
        <v>2.47E-2</v>
      </c>
      <c r="C8" s="532">
        <v>1964143.6041825002</v>
      </c>
      <c r="D8" s="533">
        <v>2307130.7743575</v>
      </c>
      <c r="E8" s="532">
        <v>1917000.5154300001</v>
      </c>
      <c r="F8" s="533">
        <v>2114071.5939525003</v>
      </c>
      <c r="G8" s="532">
        <v>1790276.3608275</v>
      </c>
      <c r="H8" s="532">
        <v>1718419.1862825002</v>
      </c>
      <c r="I8" s="532">
        <v>2142157.9596299999</v>
      </c>
      <c r="J8" s="533">
        <v>1844203.589865</v>
      </c>
      <c r="K8" s="532">
        <v>2055336.7106025</v>
      </c>
      <c r="L8" s="533">
        <v>2357624.0741625</v>
      </c>
      <c r="M8" s="532">
        <v>1843616.495565</v>
      </c>
      <c r="N8" s="532">
        <v>2066261.1328125</v>
      </c>
      <c r="O8" s="535">
        <f t="shared" ref="O8:O26" si="0">SUM(C8:N8)</f>
        <v>24120241.997669999</v>
      </c>
    </row>
    <row r="9" spans="1:15" x14ac:dyDescent="0.2">
      <c r="A9" s="505" t="s">
        <v>142</v>
      </c>
      <c r="B9" s="525">
        <v>2.3300000000000001E-2</v>
      </c>
      <c r="C9" s="532">
        <v>1852815.6266175003</v>
      </c>
      <c r="D9" s="533">
        <v>2176362.2284425003</v>
      </c>
      <c r="E9" s="532">
        <v>1808344.6157700003</v>
      </c>
      <c r="F9" s="533">
        <v>1994245.6736475001</v>
      </c>
      <c r="G9" s="532">
        <v>1688803.2067725002</v>
      </c>
      <c r="H9" s="532">
        <v>1621018.9085175004</v>
      </c>
      <c r="I9" s="532">
        <v>2020740.0995700003</v>
      </c>
      <c r="J9" s="533">
        <v>1739673.8317350002</v>
      </c>
      <c r="K9" s="532">
        <v>1938839.8929975003</v>
      </c>
      <c r="L9" s="533">
        <v>2223993.5598375001</v>
      </c>
      <c r="M9" s="532">
        <v>1739120.0140350002</v>
      </c>
      <c r="N9" s="532">
        <v>1949145.1171875</v>
      </c>
      <c r="O9" s="535">
        <f t="shared" si="0"/>
        <v>22753102.775130007</v>
      </c>
    </row>
    <row r="10" spans="1:15" x14ac:dyDescent="0.2">
      <c r="A10" s="505" t="s">
        <v>259</v>
      </c>
      <c r="B10" s="525">
        <v>2.81E-2</v>
      </c>
      <c r="C10" s="532">
        <v>2234511.5496975002</v>
      </c>
      <c r="D10" s="533">
        <v>2624711.5287225004</v>
      </c>
      <c r="E10" s="532">
        <v>2180879.1288900003</v>
      </c>
      <c r="F10" s="533">
        <v>2405077.4004075001</v>
      </c>
      <c r="G10" s="532">
        <v>2036711.1635325002</v>
      </c>
      <c r="H10" s="532">
        <v>1954962.7179975002</v>
      </c>
      <c r="I10" s="532">
        <v>2437029.9054900003</v>
      </c>
      <c r="J10" s="533">
        <v>2098061.5738949999</v>
      </c>
      <c r="K10" s="532">
        <v>2338257.5533575001</v>
      </c>
      <c r="L10" s="533">
        <v>2682155.3232375002</v>
      </c>
      <c r="M10" s="532">
        <v>2097393.6649950002</v>
      </c>
      <c r="N10" s="532">
        <v>2350685.7421875</v>
      </c>
      <c r="O10" s="535">
        <f t="shared" si="0"/>
        <v>27440437.252410006</v>
      </c>
    </row>
    <row r="11" spans="1:15" x14ac:dyDescent="0.2">
      <c r="A11" s="505" t="s">
        <v>144</v>
      </c>
      <c r="B11" s="525">
        <v>4.6399999999999997E-2</v>
      </c>
      <c r="C11" s="532">
        <v>3689727.2564400001</v>
      </c>
      <c r="D11" s="533">
        <v>4334043.2360399999</v>
      </c>
      <c r="E11" s="532">
        <v>3601166.9601600002</v>
      </c>
      <c r="F11" s="533">
        <v>3971373.3586800001</v>
      </c>
      <c r="G11" s="532">
        <v>3363110.2486799997</v>
      </c>
      <c r="H11" s="532">
        <v>3228123.4916400001</v>
      </c>
      <c r="I11" s="532">
        <v>4024134.7905600001</v>
      </c>
      <c r="J11" s="533">
        <v>3464414.84088</v>
      </c>
      <c r="K11" s="532">
        <v>3861037.3834799998</v>
      </c>
      <c r="L11" s="533">
        <v>4428897.0461999997</v>
      </c>
      <c r="M11" s="532">
        <v>3463311.9592800001</v>
      </c>
      <c r="N11" s="532">
        <v>3881559.3749999995</v>
      </c>
      <c r="O11" s="535">
        <f t="shared" si="0"/>
        <v>45310899.947040007</v>
      </c>
    </row>
    <row r="12" spans="1:15" x14ac:dyDescent="0.2">
      <c r="A12" s="505" t="s">
        <v>260</v>
      </c>
      <c r="B12" s="525">
        <v>1.4999999999999999E-2</v>
      </c>
      <c r="C12" s="532">
        <v>1192799.7596250002</v>
      </c>
      <c r="D12" s="533">
        <v>1401091.5633750001</v>
      </c>
      <c r="E12" s="532">
        <v>1164170.3535</v>
      </c>
      <c r="F12" s="533">
        <v>1283849.146125</v>
      </c>
      <c r="G12" s="532">
        <v>1087212.364875</v>
      </c>
      <c r="H12" s="532">
        <v>1043574.4046250001</v>
      </c>
      <c r="I12" s="532">
        <v>1300905.6435</v>
      </c>
      <c r="J12" s="533">
        <v>1119961.6942499999</v>
      </c>
      <c r="K12" s="532">
        <v>1248180.188625</v>
      </c>
      <c r="L12" s="533">
        <v>1431755.5106249999</v>
      </c>
      <c r="M12" s="532">
        <v>1119605.15925</v>
      </c>
      <c r="N12" s="532">
        <v>1254814.453125</v>
      </c>
      <c r="O12" s="535">
        <f t="shared" si="0"/>
        <v>14647920.241500001</v>
      </c>
    </row>
    <row r="13" spans="1:15" x14ac:dyDescent="0.2">
      <c r="A13" s="505" t="s">
        <v>146</v>
      </c>
      <c r="B13" s="525">
        <v>1.5299999999999999E-2</v>
      </c>
      <c r="C13" s="532">
        <v>1216655.7548175</v>
      </c>
      <c r="D13" s="533">
        <v>1429113.3946425</v>
      </c>
      <c r="E13" s="532">
        <v>1187453.7605699999</v>
      </c>
      <c r="F13" s="533">
        <v>1309526.1290475</v>
      </c>
      <c r="G13" s="532">
        <v>1108956.6121725</v>
      </c>
      <c r="H13" s="532">
        <v>1064445.8927175</v>
      </c>
      <c r="I13" s="532">
        <v>1326923.7563700001</v>
      </c>
      <c r="J13" s="533">
        <v>1142360.9281349999</v>
      </c>
      <c r="K13" s="532">
        <v>1273143.7923975</v>
      </c>
      <c r="L13" s="533">
        <v>1460390.6208374999</v>
      </c>
      <c r="M13" s="532">
        <v>1141997.2624349999</v>
      </c>
      <c r="N13" s="532">
        <v>1279910.7421875</v>
      </c>
      <c r="O13" s="535">
        <f t="shared" si="0"/>
        <v>14940878.646330001</v>
      </c>
    </row>
    <row r="14" spans="1:15" x14ac:dyDescent="0.2">
      <c r="A14" s="505" t="s">
        <v>147</v>
      </c>
      <c r="B14" s="525">
        <v>3.1600000000000003E-2</v>
      </c>
      <c r="C14" s="532">
        <v>2512831.4936100007</v>
      </c>
      <c r="D14" s="533">
        <v>2951632.8935100008</v>
      </c>
      <c r="E14" s="532">
        <v>2452518.8780400003</v>
      </c>
      <c r="F14" s="533">
        <v>2704642.2011700002</v>
      </c>
      <c r="G14" s="532">
        <v>2290394.0486700004</v>
      </c>
      <c r="H14" s="532">
        <v>2198463.4124100003</v>
      </c>
      <c r="I14" s="532">
        <v>2740574.5556400004</v>
      </c>
      <c r="J14" s="533">
        <v>2359385.9692200003</v>
      </c>
      <c r="K14" s="532">
        <v>2629499.5973700006</v>
      </c>
      <c r="L14" s="533">
        <v>3016231.6090500001</v>
      </c>
      <c r="M14" s="532">
        <v>2358634.8688200004</v>
      </c>
      <c r="N14" s="532">
        <v>2643475.7812500005</v>
      </c>
      <c r="O14" s="535">
        <f t="shared" si="0"/>
        <v>30858285.308760006</v>
      </c>
    </row>
    <row r="15" spans="1:15" x14ac:dyDescent="0.2">
      <c r="A15" s="505" t="s">
        <v>148</v>
      </c>
      <c r="B15" s="525">
        <v>2.81E-2</v>
      </c>
      <c r="C15" s="532">
        <v>2234511.5496975002</v>
      </c>
      <c r="D15" s="533">
        <v>2624711.5287225004</v>
      </c>
      <c r="E15" s="532">
        <v>2180879.1288900003</v>
      </c>
      <c r="F15" s="533">
        <v>2405077.4004075001</v>
      </c>
      <c r="G15" s="532">
        <v>2036711.1635325002</v>
      </c>
      <c r="H15" s="532">
        <v>1954962.7179975002</v>
      </c>
      <c r="I15" s="532">
        <v>2437029.9054900003</v>
      </c>
      <c r="J15" s="533">
        <v>2098061.5738949999</v>
      </c>
      <c r="K15" s="532">
        <v>2338257.5533575001</v>
      </c>
      <c r="L15" s="533">
        <v>2682155.3232375002</v>
      </c>
      <c r="M15" s="532">
        <v>2097393.6649950002</v>
      </c>
      <c r="N15" s="532">
        <v>2350685.7421875</v>
      </c>
      <c r="O15" s="535">
        <f t="shared" si="0"/>
        <v>27440437.252410006</v>
      </c>
    </row>
    <row r="16" spans="1:15" x14ac:dyDescent="0.2">
      <c r="A16" s="505" t="s">
        <v>149</v>
      </c>
      <c r="B16" s="525">
        <v>1.6E-2</v>
      </c>
      <c r="C16" s="532">
        <v>1272319.7436000002</v>
      </c>
      <c r="D16" s="533">
        <v>1494497.6676000003</v>
      </c>
      <c r="E16" s="532">
        <v>1241781.7104000002</v>
      </c>
      <c r="F16" s="533">
        <v>1369439.0892</v>
      </c>
      <c r="G16" s="532">
        <v>1159693.1892000001</v>
      </c>
      <c r="H16" s="532">
        <v>1113146.0316000001</v>
      </c>
      <c r="I16" s="532">
        <v>1387632.6864000002</v>
      </c>
      <c r="J16" s="533">
        <v>1194625.8072000002</v>
      </c>
      <c r="K16" s="532">
        <v>1331392.2012</v>
      </c>
      <c r="L16" s="533">
        <v>1527205.878</v>
      </c>
      <c r="M16" s="532">
        <v>1194245.5032000002</v>
      </c>
      <c r="N16" s="532">
        <v>1338468.75</v>
      </c>
      <c r="O16" s="535">
        <f t="shared" si="0"/>
        <v>15624448.257600002</v>
      </c>
    </row>
    <row r="17" spans="1:20" x14ac:dyDescent="0.2">
      <c r="A17" s="505" t="s">
        <v>150</v>
      </c>
      <c r="B17" s="525">
        <v>2.8400000000000002E-2</v>
      </c>
      <c r="C17" s="532">
        <v>2258367.5448900005</v>
      </c>
      <c r="D17" s="533">
        <v>2652733.3599900003</v>
      </c>
      <c r="E17" s="532">
        <v>2204162.5359600005</v>
      </c>
      <c r="F17" s="533">
        <v>2430754.3833300001</v>
      </c>
      <c r="G17" s="532">
        <v>2058455.4108300002</v>
      </c>
      <c r="H17" s="532">
        <v>1975834.2060900005</v>
      </c>
      <c r="I17" s="532">
        <v>2463048.0183600001</v>
      </c>
      <c r="J17" s="533">
        <v>2120460.8077800004</v>
      </c>
      <c r="K17" s="532">
        <v>2363221.1571300002</v>
      </c>
      <c r="L17" s="533">
        <v>2710790.4334500004</v>
      </c>
      <c r="M17" s="532">
        <v>2119785.7681800001</v>
      </c>
      <c r="N17" s="532">
        <v>2375782.03125</v>
      </c>
      <c r="O17" s="535">
        <f t="shared" si="0"/>
        <v>27733395.657240007</v>
      </c>
    </row>
    <row r="18" spans="1:20" x14ac:dyDescent="0.2">
      <c r="A18" s="505" t="s">
        <v>151</v>
      </c>
      <c r="B18" s="525">
        <v>3.3300000000000003E-2</v>
      </c>
      <c r="C18" s="532">
        <v>2648015.4663675004</v>
      </c>
      <c r="D18" s="533">
        <v>3110423.2706925008</v>
      </c>
      <c r="E18" s="532">
        <v>2584458.1847700006</v>
      </c>
      <c r="F18" s="533">
        <v>2850145.1043975004</v>
      </c>
      <c r="G18" s="532">
        <v>2413611.4500225005</v>
      </c>
      <c r="H18" s="532">
        <v>2316735.1782675004</v>
      </c>
      <c r="I18" s="532">
        <v>2888010.5285700005</v>
      </c>
      <c r="J18" s="533">
        <v>2486314.9612350003</v>
      </c>
      <c r="K18" s="532">
        <v>2770960.0187475001</v>
      </c>
      <c r="L18" s="533">
        <v>3178497.2335875002</v>
      </c>
      <c r="M18" s="532">
        <v>2485523.4535350003</v>
      </c>
      <c r="N18" s="532">
        <v>2785688.0859375005</v>
      </c>
      <c r="O18" s="535">
        <f t="shared" si="0"/>
        <v>32518382.936130006</v>
      </c>
    </row>
    <row r="19" spans="1:20" x14ac:dyDescent="0.2">
      <c r="A19" s="505" t="s">
        <v>152</v>
      </c>
      <c r="B19" s="525">
        <v>4.6899999999999997E-2</v>
      </c>
      <c r="C19" s="532">
        <v>3729487.2484275</v>
      </c>
      <c r="D19" s="533">
        <v>4380746.2881525001</v>
      </c>
      <c r="E19" s="532">
        <v>3639972.6386100003</v>
      </c>
      <c r="F19" s="533">
        <v>4014168.3302174998</v>
      </c>
      <c r="G19" s="532">
        <v>3399350.6608425002</v>
      </c>
      <c r="H19" s="532">
        <v>3262909.3051275001</v>
      </c>
      <c r="I19" s="532">
        <v>4067498.31201</v>
      </c>
      <c r="J19" s="533">
        <v>3501746.897355</v>
      </c>
      <c r="K19" s="532">
        <v>3902643.3897675001</v>
      </c>
      <c r="L19" s="533">
        <v>4476622.2298874995</v>
      </c>
      <c r="M19" s="532">
        <v>3500632.1312549999</v>
      </c>
      <c r="N19" s="532">
        <v>3923386.5234375</v>
      </c>
      <c r="O19" s="535">
        <f t="shared" si="0"/>
        <v>45799163.955090001</v>
      </c>
    </row>
    <row r="20" spans="1:20" x14ac:dyDescent="0.2">
      <c r="A20" s="505" t="s">
        <v>261</v>
      </c>
      <c r="B20" s="525">
        <v>2.1299999999999999E-2</v>
      </c>
      <c r="C20" s="532">
        <v>1693775.6586675001</v>
      </c>
      <c r="D20" s="533">
        <v>1989550.0199925001</v>
      </c>
      <c r="E20" s="532">
        <v>1653121.90197</v>
      </c>
      <c r="F20" s="533">
        <v>1823065.7874975</v>
      </c>
      <c r="G20" s="532">
        <v>1543841.5581225001</v>
      </c>
      <c r="H20" s="532">
        <v>1481875.6545675001</v>
      </c>
      <c r="I20" s="532">
        <v>1847286.0137700001</v>
      </c>
      <c r="J20" s="533">
        <v>1590345.6058350001</v>
      </c>
      <c r="K20" s="532">
        <v>1772415.8678475001</v>
      </c>
      <c r="L20" s="533">
        <v>2033092.8250875</v>
      </c>
      <c r="M20" s="532">
        <v>1589839.326135</v>
      </c>
      <c r="N20" s="532">
        <v>1781836.5234375</v>
      </c>
      <c r="O20" s="535">
        <f t="shared" si="0"/>
        <v>20800046.742929999</v>
      </c>
    </row>
    <row r="21" spans="1:20" x14ac:dyDescent="0.2">
      <c r="A21" s="505" t="s">
        <v>262</v>
      </c>
      <c r="B21" s="525">
        <v>2.81E-2</v>
      </c>
      <c r="C21" s="532">
        <v>2234511.5496975002</v>
      </c>
      <c r="D21" s="533">
        <v>2624711.5287225004</v>
      </c>
      <c r="E21" s="532">
        <v>2180879.1288900003</v>
      </c>
      <c r="F21" s="533">
        <v>2405077.4004075001</v>
      </c>
      <c r="G21" s="532">
        <v>2036711.1635325002</v>
      </c>
      <c r="H21" s="532">
        <v>1954962.7179975002</v>
      </c>
      <c r="I21" s="532">
        <v>2437029.9054900003</v>
      </c>
      <c r="J21" s="533">
        <v>2098061.5738949999</v>
      </c>
      <c r="K21" s="532">
        <v>2338257.5533575001</v>
      </c>
      <c r="L21" s="533">
        <v>2682155.3232375002</v>
      </c>
      <c r="M21" s="532">
        <v>2097393.6649950002</v>
      </c>
      <c r="N21" s="532">
        <v>2350685.7421875</v>
      </c>
      <c r="O21" s="535">
        <f t="shared" si="0"/>
        <v>27440437.252410006</v>
      </c>
    </row>
    <row r="22" spans="1:20" x14ac:dyDescent="0.2">
      <c r="A22" s="505" t="s">
        <v>263</v>
      </c>
      <c r="B22" s="525">
        <v>8.3400000000000002E-2</v>
      </c>
      <c r="C22" s="532">
        <v>6631966.6635150006</v>
      </c>
      <c r="D22" s="533">
        <v>7790069.0923650013</v>
      </c>
      <c r="E22" s="532">
        <v>6472787.1654600007</v>
      </c>
      <c r="F22" s="533">
        <v>7138201.2524550008</v>
      </c>
      <c r="G22" s="532">
        <v>6044900.7487050006</v>
      </c>
      <c r="H22" s="532">
        <v>5802273.6897150008</v>
      </c>
      <c r="I22" s="532">
        <v>7233035.3778600004</v>
      </c>
      <c r="J22" s="533">
        <v>6226987.0200300002</v>
      </c>
      <c r="K22" s="532">
        <v>6939881.8487550002</v>
      </c>
      <c r="L22" s="533">
        <v>7960560.6390749998</v>
      </c>
      <c r="M22" s="532">
        <v>6225004.6854300005</v>
      </c>
      <c r="N22" s="532">
        <v>6976768.359375</v>
      </c>
      <c r="O22" s="535">
        <f t="shared" si="0"/>
        <v>81442436.542740017</v>
      </c>
    </row>
    <row r="23" spans="1:20" x14ac:dyDescent="0.2">
      <c r="A23" s="505" t="s">
        <v>156</v>
      </c>
      <c r="B23" s="525">
        <v>3.5000000000000003E-2</v>
      </c>
      <c r="C23" s="532">
        <v>2783199.4391250005</v>
      </c>
      <c r="D23" s="533">
        <v>3269213.6478750007</v>
      </c>
      <c r="E23" s="532">
        <v>2716397.4915000005</v>
      </c>
      <c r="F23" s="533">
        <v>2995648.0076250006</v>
      </c>
      <c r="G23" s="532">
        <v>2536828.8513750006</v>
      </c>
      <c r="H23" s="532">
        <v>2435006.9441250004</v>
      </c>
      <c r="I23" s="532">
        <v>3035446.5015000007</v>
      </c>
      <c r="J23" s="533">
        <v>2613243.9532500003</v>
      </c>
      <c r="K23" s="532">
        <v>2912420.4401250002</v>
      </c>
      <c r="L23" s="533">
        <v>3340762.8581250003</v>
      </c>
      <c r="M23" s="532">
        <v>2612412.0382500002</v>
      </c>
      <c r="N23" s="532">
        <v>2927900.3906250005</v>
      </c>
      <c r="O23" s="535">
        <f t="shared" si="0"/>
        <v>34178480.563500009</v>
      </c>
    </row>
    <row r="24" spans="1:20" x14ac:dyDescent="0.2">
      <c r="A24" s="505" t="s">
        <v>157</v>
      </c>
      <c r="B24" s="525">
        <v>0.39</v>
      </c>
      <c r="C24" s="532">
        <v>31012793.750250004</v>
      </c>
      <c r="D24" s="533">
        <v>36428380.647750005</v>
      </c>
      <c r="E24" s="532">
        <v>30268429.191000003</v>
      </c>
      <c r="F24" s="533">
        <v>33380077.799250003</v>
      </c>
      <c r="G24" s="532">
        <v>28267521.486750003</v>
      </c>
      <c r="H24" s="532">
        <v>27132934.520250004</v>
      </c>
      <c r="I24" s="532">
        <v>33823546.731000006</v>
      </c>
      <c r="J24" s="533">
        <v>29119004.050500002</v>
      </c>
      <c r="K24" s="532">
        <v>32452684.904250003</v>
      </c>
      <c r="L24" s="533">
        <v>37225643.276250005</v>
      </c>
      <c r="M24" s="532">
        <v>29109734.140500002</v>
      </c>
      <c r="N24" s="532">
        <v>32625175.78125</v>
      </c>
      <c r="O24" s="535">
        <f t="shared" si="0"/>
        <v>380845926.27900004</v>
      </c>
      <c r="T24" s="509"/>
    </row>
    <row r="25" spans="1:20" x14ac:dyDescent="0.2">
      <c r="A25" s="505" t="s">
        <v>158</v>
      </c>
      <c r="B25" s="525">
        <v>3.7900000000000003E-2</v>
      </c>
      <c r="C25" s="532">
        <v>3013807.3926525004</v>
      </c>
      <c r="D25" s="533">
        <v>3540091.3501275005</v>
      </c>
      <c r="E25" s="532">
        <v>2941470.4265100006</v>
      </c>
      <c r="F25" s="533">
        <v>3243858.8425425002</v>
      </c>
      <c r="G25" s="532">
        <v>2747023.2419175003</v>
      </c>
      <c r="H25" s="532">
        <v>2636764.6623525005</v>
      </c>
      <c r="I25" s="532">
        <v>3286954.9259100007</v>
      </c>
      <c r="J25" s="533">
        <v>2829769.8808050002</v>
      </c>
      <c r="K25" s="532">
        <v>3153735.2765925005</v>
      </c>
      <c r="L25" s="533">
        <v>3617568.9235125002</v>
      </c>
      <c r="M25" s="532">
        <v>2828869.0357050002</v>
      </c>
      <c r="N25" s="532">
        <v>3170497.8515625005</v>
      </c>
      <c r="O25" s="535">
        <f t="shared" si="0"/>
        <v>37010411.810190007</v>
      </c>
      <c r="T25" s="509"/>
    </row>
    <row r="26" spans="1:20" ht="13.5" thickBot="1" x14ac:dyDescent="0.25">
      <c r="A26" s="505" t="s">
        <v>159</v>
      </c>
      <c r="B26" s="525">
        <v>3.1E-2</v>
      </c>
      <c r="C26" s="532">
        <v>2465119.5032250001</v>
      </c>
      <c r="D26" s="533">
        <v>2895589.2309750002</v>
      </c>
      <c r="E26" s="532">
        <v>2405952.0639</v>
      </c>
      <c r="F26" s="533">
        <v>2653288.2353250002</v>
      </c>
      <c r="G26" s="532">
        <v>2246905.5540749999</v>
      </c>
      <c r="H26" s="532">
        <v>2156720.4362250003</v>
      </c>
      <c r="I26" s="538">
        <v>2688538.3299000002</v>
      </c>
      <c r="J26" s="533">
        <v>2314587.5014499999</v>
      </c>
      <c r="K26" s="532">
        <v>2579572.389825</v>
      </c>
      <c r="L26" s="533">
        <v>2958961.3886250001</v>
      </c>
      <c r="M26" s="532">
        <v>2313850.6624500002</v>
      </c>
      <c r="N26" s="532">
        <v>2593283.203125</v>
      </c>
      <c r="O26" s="535">
        <f t="shared" si="0"/>
        <v>30272368.4991</v>
      </c>
      <c r="T26" s="509"/>
    </row>
    <row r="27" spans="1:20" ht="13.5" thickBot="1" x14ac:dyDescent="0.25">
      <c r="A27" s="510" t="s">
        <v>264</v>
      </c>
      <c r="B27" s="526">
        <f>SUM(B7:B26)</f>
        <v>1</v>
      </c>
      <c r="C27" s="540">
        <f>SUM(C7:C26)</f>
        <v>79519983.975000009</v>
      </c>
      <c r="D27" s="540">
        <f t="shared" ref="D27:N27" si="1">SUM(D7:D26)</f>
        <v>93406104.225000024</v>
      </c>
      <c r="E27" s="540">
        <f t="shared" si="1"/>
        <v>77611356.900000006</v>
      </c>
      <c r="F27" s="540">
        <f t="shared" si="1"/>
        <v>85589943.075000003</v>
      </c>
      <c r="G27" s="540">
        <f t="shared" si="1"/>
        <v>72480824.325000003</v>
      </c>
      <c r="H27" s="540">
        <f t="shared" si="1"/>
        <v>69571626.975000009</v>
      </c>
      <c r="I27" s="540">
        <f t="shared" si="1"/>
        <v>86727042.900000006</v>
      </c>
      <c r="J27" s="540">
        <f t="shared" si="1"/>
        <v>74664112.950000003</v>
      </c>
      <c r="K27" s="540">
        <f t="shared" si="1"/>
        <v>83212012.575000003</v>
      </c>
      <c r="L27" s="540">
        <f t="shared" si="1"/>
        <v>95450367.375</v>
      </c>
      <c r="M27" s="540">
        <f t="shared" si="1"/>
        <v>74640343.950000003</v>
      </c>
      <c r="N27" s="540">
        <f t="shared" si="1"/>
        <v>83654296.875</v>
      </c>
      <c r="O27" s="540">
        <f>SUM(C27:N27)</f>
        <v>976528016.10000026</v>
      </c>
      <c r="T27" s="509"/>
    </row>
    <row r="28" spans="1:20" x14ac:dyDescent="0.2">
      <c r="A28" s="513"/>
      <c r="B28" s="513"/>
      <c r="C28" s="513"/>
      <c r="D28" s="513"/>
      <c r="E28" s="513"/>
      <c r="F28" s="513"/>
      <c r="G28" s="513"/>
      <c r="H28" s="513"/>
      <c r="I28" s="513"/>
      <c r="J28" s="513"/>
      <c r="K28" s="513"/>
      <c r="L28" s="513"/>
      <c r="M28" s="513"/>
      <c r="N28" s="513"/>
      <c r="O28" s="513"/>
      <c r="T28" s="509"/>
    </row>
    <row r="29" spans="1:20" x14ac:dyDescent="0.2">
      <c r="A29" s="514" t="s">
        <v>265</v>
      </c>
    </row>
  </sheetData>
  <mergeCells count="4">
    <mergeCell ref="A1:O1"/>
    <mergeCell ref="A2:O2"/>
    <mergeCell ref="A3:O3"/>
    <mergeCell ref="A4:O4"/>
  </mergeCells>
  <printOptions horizontalCentered="1"/>
  <pageMargins left="0.78740157480314965" right="0.78740157480314965" top="0.98425196850393704" bottom="0.98425196850393704" header="0" footer="0"/>
  <pageSetup paperSize="5"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R46"/>
  <sheetViews>
    <sheetView workbookViewId="0">
      <selection sqref="A1:G1"/>
    </sheetView>
  </sheetViews>
  <sheetFormatPr baseColWidth="10" defaultRowHeight="15" x14ac:dyDescent="0.25"/>
  <cols>
    <col min="1" max="1" width="15.85546875" bestFit="1" customWidth="1"/>
    <col min="2" max="4" width="15.85546875" customWidth="1"/>
    <col min="5" max="5" width="15.85546875" bestFit="1" customWidth="1"/>
    <col min="6" max="7" width="15.85546875" customWidth="1"/>
  </cols>
  <sheetData>
    <row r="1" spans="1:18" ht="15.75" x14ac:dyDescent="0.25">
      <c r="A1" s="1001" t="s">
        <v>498</v>
      </c>
      <c r="B1" s="1001"/>
      <c r="C1" s="1001"/>
      <c r="D1" s="1001"/>
      <c r="E1" s="1001"/>
      <c r="F1" s="1001"/>
      <c r="G1" s="1001"/>
    </row>
    <row r="2" spans="1:18" ht="30" customHeight="1" x14ac:dyDescent="0.25">
      <c r="A2" s="1002" t="s">
        <v>441</v>
      </c>
      <c r="B2" s="1002"/>
      <c r="C2" s="1002"/>
      <c r="D2" s="1002"/>
      <c r="E2" s="1002"/>
      <c r="F2" s="1002"/>
      <c r="G2" s="1002"/>
    </row>
    <row r="4" spans="1:18" ht="15.75" x14ac:dyDescent="0.25">
      <c r="A4" s="1"/>
      <c r="B4" s="1"/>
      <c r="C4" s="1"/>
      <c r="D4" s="1"/>
      <c r="E4" s="1"/>
      <c r="G4" s="961" t="s">
        <v>540</v>
      </c>
    </row>
    <row r="5" spans="1:18" ht="30" customHeight="1" x14ac:dyDescent="0.25">
      <c r="A5" s="782" t="s">
        <v>279</v>
      </c>
      <c r="B5" s="988" t="s">
        <v>0</v>
      </c>
      <c r="C5" s="989"/>
      <c r="D5" s="988" t="s">
        <v>280</v>
      </c>
      <c r="E5" s="989"/>
      <c r="F5" s="990" t="s">
        <v>311</v>
      </c>
      <c r="G5" s="990"/>
      <c r="N5" s="2"/>
      <c r="O5" s="3"/>
      <c r="P5" s="3"/>
      <c r="Q5" s="3"/>
      <c r="R5" s="3"/>
    </row>
    <row r="6" spans="1:18" ht="15.75" customHeight="1" x14ac:dyDescent="0.25">
      <c r="A6" s="783"/>
      <c r="B6" s="988" t="s">
        <v>281</v>
      </c>
      <c r="C6" s="989"/>
      <c r="D6" s="988" t="s">
        <v>281</v>
      </c>
      <c r="E6" s="989"/>
      <c r="F6" s="991" t="s">
        <v>281</v>
      </c>
      <c r="G6" s="991"/>
      <c r="N6" s="2"/>
      <c r="O6" s="3"/>
      <c r="P6" s="3"/>
      <c r="Q6" s="3"/>
      <c r="R6" s="3"/>
    </row>
    <row r="7" spans="1:18" ht="15.75" x14ac:dyDescent="0.25">
      <c r="A7" s="764" t="s">
        <v>1</v>
      </c>
      <c r="B7" s="999" t="s">
        <v>497</v>
      </c>
      <c r="C7" s="1000"/>
      <c r="D7" s="999" t="s">
        <v>510</v>
      </c>
      <c r="E7" s="1000"/>
      <c r="F7" s="999" t="s">
        <v>497</v>
      </c>
      <c r="G7" s="1000"/>
      <c r="N7" s="4"/>
      <c r="O7" s="4"/>
      <c r="P7" s="6"/>
      <c r="Q7" s="4"/>
      <c r="R7" s="6"/>
    </row>
    <row r="8" spans="1:18" ht="15.75" x14ac:dyDescent="0.25">
      <c r="A8" s="765" t="s">
        <v>2</v>
      </c>
      <c r="B8" s="995" t="s">
        <v>499</v>
      </c>
      <c r="C8" s="996"/>
      <c r="D8" s="995" t="s">
        <v>511</v>
      </c>
      <c r="E8" s="996"/>
      <c r="F8" s="995" t="s">
        <v>499</v>
      </c>
      <c r="G8" s="996"/>
      <c r="N8" s="4"/>
      <c r="O8" s="4"/>
      <c r="P8" s="6"/>
      <c r="Q8" s="4"/>
      <c r="R8" s="6"/>
    </row>
    <row r="9" spans="1:18" ht="15.75" x14ac:dyDescent="0.25">
      <c r="A9" s="765" t="s">
        <v>3</v>
      </c>
      <c r="B9" s="995" t="s">
        <v>500</v>
      </c>
      <c r="C9" s="996"/>
      <c r="D9" s="995" t="s">
        <v>512</v>
      </c>
      <c r="E9" s="996"/>
      <c r="F9" s="995" t="s">
        <v>500</v>
      </c>
      <c r="G9" s="996"/>
      <c r="N9" s="4"/>
      <c r="O9" s="4"/>
      <c r="P9" s="6"/>
      <c r="Q9" s="4"/>
      <c r="R9" s="6"/>
    </row>
    <row r="10" spans="1:18" ht="15.75" x14ac:dyDescent="0.25">
      <c r="A10" s="765" t="s">
        <v>4</v>
      </c>
      <c r="B10" s="995" t="s">
        <v>501</v>
      </c>
      <c r="C10" s="996"/>
      <c r="D10" s="995" t="s">
        <v>513</v>
      </c>
      <c r="E10" s="996"/>
      <c r="F10" s="995" t="s">
        <v>501</v>
      </c>
      <c r="G10" s="996"/>
      <c r="N10" s="4"/>
      <c r="O10" s="4"/>
      <c r="P10" s="6"/>
      <c r="Q10" s="4"/>
      <c r="R10" s="6"/>
    </row>
    <row r="11" spans="1:18" ht="15.75" x14ac:dyDescent="0.25">
      <c r="A11" s="765" t="s">
        <v>5</v>
      </c>
      <c r="B11" s="995" t="s">
        <v>502</v>
      </c>
      <c r="C11" s="996"/>
      <c r="D11" s="995" t="s">
        <v>514</v>
      </c>
      <c r="E11" s="996"/>
      <c r="F11" s="995" t="s">
        <v>502</v>
      </c>
      <c r="G11" s="996"/>
      <c r="N11" s="4"/>
      <c r="O11" s="4"/>
      <c r="P11" s="6"/>
      <c r="Q11" s="4"/>
      <c r="R11" s="6"/>
    </row>
    <row r="12" spans="1:18" ht="15.75" x14ac:dyDescent="0.25">
      <c r="A12" s="765" t="s">
        <v>6</v>
      </c>
      <c r="B12" s="995" t="s">
        <v>503</v>
      </c>
      <c r="C12" s="996"/>
      <c r="D12" s="995" t="s">
        <v>515</v>
      </c>
      <c r="E12" s="996"/>
      <c r="F12" s="995" t="s">
        <v>503</v>
      </c>
      <c r="G12" s="996"/>
      <c r="N12" s="4"/>
      <c r="O12" s="4"/>
      <c r="P12" s="6"/>
      <c r="Q12" s="4"/>
      <c r="R12" s="6"/>
    </row>
    <row r="13" spans="1:18" ht="15.75" x14ac:dyDescent="0.25">
      <c r="A13" s="765" t="s">
        <v>7</v>
      </c>
      <c r="B13" s="995" t="s">
        <v>504</v>
      </c>
      <c r="C13" s="996"/>
      <c r="D13" s="995" t="s">
        <v>516</v>
      </c>
      <c r="E13" s="996"/>
      <c r="F13" s="995" t="s">
        <v>504</v>
      </c>
      <c r="G13" s="996"/>
      <c r="N13" s="4"/>
      <c r="O13" s="4"/>
      <c r="P13" s="6"/>
      <c r="Q13" s="4"/>
      <c r="R13" s="6"/>
    </row>
    <row r="14" spans="1:18" ht="15.75" x14ac:dyDescent="0.25">
      <c r="A14" s="765" t="s">
        <v>8</v>
      </c>
      <c r="B14" s="995" t="s">
        <v>505</v>
      </c>
      <c r="C14" s="996"/>
      <c r="D14" s="995" t="s">
        <v>517</v>
      </c>
      <c r="E14" s="996"/>
      <c r="F14" s="995" t="s">
        <v>505</v>
      </c>
      <c r="G14" s="996"/>
      <c r="N14" s="4"/>
      <c r="O14" s="4"/>
      <c r="P14" s="6"/>
      <c r="Q14" s="4"/>
      <c r="R14" s="6"/>
    </row>
    <row r="15" spans="1:18" ht="15.75" x14ac:dyDescent="0.25">
      <c r="A15" s="765" t="s">
        <v>9</v>
      </c>
      <c r="B15" s="995" t="s">
        <v>506</v>
      </c>
      <c r="C15" s="996"/>
      <c r="D15" s="995" t="s">
        <v>518</v>
      </c>
      <c r="E15" s="996"/>
      <c r="F15" s="995" t="s">
        <v>506</v>
      </c>
      <c r="G15" s="996"/>
      <c r="N15" s="4"/>
      <c r="O15" s="4"/>
      <c r="P15" s="6"/>
      <c r="Q15" s="4"/>
      <c r="R15" s="6"/>
    </row>
    <row r="16" spans="1:18" ht="15.75" x14ac:dyDescent="0.25">
      <c r="A16" s="765" t="s">
        <v>10</v>
      </c>
      <c r="B16" s="995" t="s">
        <v>507</v>
      </c>
      <c r="C16" s="996"/>
      <c r="D16" s="995" t="s">
        <v>519</v>
      </c>
      <c r="E16" s="996"/>
      <c r="F16" s="995" t="s">
        <v>507</v>
      </c>
      <c r="G16" s="996"/>
      <c r="N16" s="4"/>
      <c r="O16" s="4"/>
      <c r="P16" s="6"/>
      <c r="Q16" s="4"/>
      <c r="R16" s="6"/>
    </row>
    <row r="17" spans="1:18" ht="15.75" x14ac:dyDescent="0.25">
      <c r="A17" s="765" t="s">
        <v>11</v>
      </c>
      <c r="B17" s="995" t="s">
        <v>508</v>
      </c>
      <c r="C17" s="996"/>
      <c r="D17" s="995" t="s">
        <v>520</v>
      </c>
      <c r="E17" s="996"/>
      <c r="F17" s="995" t="s">
        <v>508</v>
      </c>
      <c r="G17" s="996"/>
      <c r="N17" s="4"/>
      <c r="O17" s="4"/>
      <c r="P17" s="6"/>
      <c r="Q17" s="4"/>
      <c r="R17" s="6"/>
    </row>
    <row r="18" spans="1:18" ht="15.75" x14ac:dyDescent="0.25">
      <c r="A18" s="766" t="s">
        <v>12</v>
      </c>
      <c r="B18" s="997" t="s">
        <v>509</v>
      </c>
      <c r="C18" s="998"/>
      <c r="D18" s="997" t="s">
        <v>521</v>
      </c>
      <c r="E18" s="998"/>
      <c r="F18" s="997" t="s">
        <v>509</v>
      </c>
      <c r="G18" s="998"/>
      <c r="N18" s="4"/>
      <c r="O18" s="7"/>
      <c r="P18" s="6"/>
      <c r="Q18" s="7"/>
      <c r="R18" s="6"/>
    </row>
    <row r="19" spans="1:18" ht="49.5" customHeight="1" x14ac:dyDescent="0.25">
      <c r="A19" s="991" t="s">
        <v>279</v>
      </c>
      <c r="B19" s="1004" t="s">
        <v>282</v>
      </c>
      <c r="C19" s="1004"/>
      <c r="D19" s="1005" t="s">
        <v>388</v>
      </c>
      <c r="E19" s="1005"/>
      <c r="F19" s="994" t="s">
        <v>283</v>
      </c>
      <c r="G19" s="994"/>
    </row>
    <row r="20" spans="1:18" ht="15.75" customHeight="1" x14ac:dyDescent="0.25">
      <c r="A20" s="1003"/>
      <c r="B20" s="991" t="s">
        <v>281</v>
      </c>
      <c r="C20" s="991"/>
      <c r="D20" s="990" t="s">
        <v>281</v>
      </c>
      <c r="E20" s="990"/>
      <c r="F20" s="991" t="s">
        <v>281</v>
      </c>
      <c r="G20" s="991"/>
    </row>
    <row r="21" spans="1:18" ht="15.75" x14ac:dyDescent="0.25">
      <c r="A21" s="764" t="s">
        <v>1</v>
      </c>
      <c r="B21" s="999" t="s">
        <v>510</v>
      </c>
      <c r="C21" s="1000"/>
      <c r="D21" s="999" t="s">
        <v>522</v>
      </c>
      <c r="E21" s="1000"/>
      <c r="F21" s="999" t="s">
        <v>497</v>
      </c>
      <c r="G21" s="1000"/>
    </row>
    <row r="22" spans="1:18" ht="15.75" x14ac:dyDescent="0.25">
      <c r="A22" s="765" t="s">
        <v>2</v>
      </c>
      <c r="B22" s="995" t="s">
        <v>511</v>
      </c>
      <c r="C22" s="996"/>
      <c r="D22" s="995" t="s">
        <v>523</v>
      </c>
      <c r="E22" s="996"/>
      <c r="F22" s="995" t="s">
        <v>499</v>
      </c>
      <c r="G22" s="996"/>
    </row>
    <row r="23" spans="1:18" ht="15.75" x14ac:dyDescent="0.25">
      <c r="A23" s="765" t="s">
        <v>3</v>
      </c>
      <c r="B23" s="995" t="s">
        <v>512</v>
      </c>
      <c r="C23" s="996"/>
      <c r="D23" s="995" t="s">
        <v>524</v>
      </c>
      <c r="E23" s="996"/>
      <c r="F23" s="995" t="s">
        <v>500</v>
      </c>
      <c r="G23" s="996"/>
    </row>
    <row r="24" spans="1:18" ht="15.75" x14ac:dyDescent="0.25">
      <c r="A24" s="765" t="s">
        <v>4</v>
      </c>
      <c r="B24" s="995" t="s">
        <v>513</v>
      </c>
      <c r="C24" s="996"/>
      <c r="D24" s="995" t="s">
        <v>525</v>
      </c>
      <c r="E24" s="996"/>
      <c r="F24" s="995" t="s">
        <v>501</v>
      </c>
      <c r="G24" s="996"/>
    </row>
    <row r="25" spans="1:18" ht="15.75" x14ac:dyDescent="0.25">
      <c r="A25" s="765" t="s">
        <v>5</v>
      </c>
      <c r="B25" s="995" t="s">
        <v>514</v>
      </c>
      <c r="C25" s="996"/>
      <c r="D25" s="995" t="s">
        <v>526</v>
      </c>
      <c r="E25" s="996"/>
      <c r="F25" s="995" t="s">
        <v>502</v>
      </c>
      <c r="G25" s="996"/>
    </row>
    <row r="26" spans="1:18" ht="15.75" x14ac:dyDescent="0.25">
      <c r="A26" s="765" t="s">
        <v>6</v>
      </c>
      <c r="B26" s="995" t="s">
        <v>515</v>
      </c>
      <c r="C26" s="996"/>
      <c r="D26" s="995" t="s">
        <v>527</v>
      </c>
      <c r="E26" s="996"/>
      <c r="F26" s="995" t="s">
        <v>503</v>
      </c>
      <c r="G26" s="996"/>
    </row>
    <row r="27" spans="1:18" ht="15.75" x14ac:dyDescent="0.25">
      <c r="A27" s="765" t="s">
        <v>7</v>
      </c>
      <c r="B27" s="995" t="s">
        <v>516</v>
      </c>
      <c r="C27" s="996"/>
      <c r="D27" s="995" t="s">
        <v>528</v>
      </c>
      <c r="E27" s="996"/>
      <c r="F27" s="995" t="s">
        <v>504</v>
      </c>
      <c r="G27" s="996"/>
    </row>
    <row r="28" spans="1:18" ht="15.75" x14ac:dyDescent="0.25">
      <c r="A28" s="765" t="s">
        <v>8</v>
      </c>
      <c r="B28" s="995" t="s">
        <v>517</v>
      </c>
      <c r="C28" s="996"/>
      <c r="D28" s="995" t="s">
        <v>529</v>
      </c>
      <c r="E28" s="996"/>
      <c r="F28" s="995" t="s">
        <v>505</v>
      </c>
      <c r="G28" s="996"/>
    </row>
    <row r="29" spans="1:18" ht="15.75" x14ac:dyDescent="0.25">
      <c r="A29" s="765" t="s">
        <v>9</v>
      </c>
      <c r="B29" s="995" t="s">
        <v>518</v>
      </c>
      <c r="C29" s="996"/>
      <c r="D29" s="995" t="s">
        <v>530</v>
      </c>
      <c r="E29" s="996"/>
      <c r="F29" s="995" t="s">
        <v>506</v>
      </c>
      <c r="G29" s="996"/>
    </row>
    <row r="30" spans="1:18" ht="15.75" x14ac:dyDescent="0.25">
      <c r="A30" s="765" t="s">
        <v>10</v>
      </c>
      <c r="B30" s="995" t="s">
        <v>519</v>
      </c>
      <c r="C30" s="996"/>
      <c r="D30" s="995" t="s">
        <v>531</v>
      </c>
      <c r="E30" s="996"/>
      <c r="F30" s="995" t="s">
        <v>507</v>
      </c>
      <c r="G30" s="996"/>
    </row>
    <row r="31" spans="1:18" ht="15.75" x14ac:dyDescent="0.25">
      <c r="A31" s="765" t="s">
        <v>11</v>
      </c>
      <c r="B31" s="995" t="s">
        <v>520</v>
      </c>
      <c r="C31" s="996"/>
      <c r="D31" s="995" t="s">
        <v>532</v>
      </c>
      <c r="E31" s="996"/>
      <c r="F31" s="995" t="s">
        <v>508</v>
      </c>
      <c r="G31" s="996"/>
    </row>
    <row r="32" spans="1:18" ht="15.75" x14ac:dyDescent="0.25">
      <c r="A32" s="766" t="s">
        <v>12</v>
      </c>
      <c r="B32" s="997" t="s">
        <v>521</v>
      </c>
      <c r="C32" s="998"/>
      <c r="D32" s="1006" t="s">
        <v>533</v>
      </c>
      <c r="E32" s="998"/>
      <c r="F32" s="997" t="s">
        <v>509</v>
      </c>
      <c r="G32" s="998"/>
    </row>
    <row r="33" spans="1:10" ht="49.5" customHeight="1" x14ac:dyDescent="0.25">
      <c r="A33" s="991" t="s">
        <v>279</v>
      </c>
      <c r="B33" s="992" t="s">
        <v>284</v>
      </c>
      <c r="C33" s="993"/>
      <c r="D33" s="994" t="s">
        <v>313</v>
      </c>
      <c r="E33" s="994"/>
      <c r="F33" s="990" t="s">
        <v>312</v>
      </c>
      <c r="G33" s="990"/>
      <c r="I33" s="985"/>
      <c r="J33" s="986"/>
    </row>
    <row r="34" spans="1:10" ht="15" customHeight="1" x14ac:dyDescent="0.25">
      <c r="A34" s="1003"/>
      <c r="B34" s="988" t="s">
        <v>281</v>
      </c>
      <c r="C34" s="989"/>
      <c r="D34" s="991" t="s">
        <v>281</v>
      </c>
      <c r="E34" s="991"/>
      <c r="F34" s="991" t="s">
        <v>281</v>
      </c>
      <c r="G34" s="991"/>
      <c r="I34" s="987"/>
      <c r="J34" s="987"/>
    </row>
    <row r="35" spans="1:10" ht="15.75" x14ac:dyDescent="0.25">
      <c r="A35" s="764" t="s">
        <v>1</v>
      </c>
      <c r="B35" s="999" t="s">
        <v>497</v>
      </c>
      <c r="C35" s="1000"/>
      <c r="D35" s="999" t="s">
        <v>523</v>
      </c>
      <c r="E35" s="1000"/>
      <c r="F35" s="999" t="s">
        <v>510</v>
      </c>
      <c r="G35" s="1000"/>
      <c r="I35" s="561"/>
      <c r="J35" s="562"/>
    </row>
    <row r="36" spans="1:10" ht="15.75" x14ac:dyDescent="0.25">
      <c r="A36" s="765" t="s">
        <v>2</v>
      </c>
      <c r="B36" s="995" t="s">
        <v>499</v>
      </c>
      <c r="C36" s="996"/>
      <c r="D36" s="995" t="s">
        <v>524</v>
      </c>
      <c r="E36" s="996"/>
      <c r="F36" s="995" t="s">
        <v>511</v>
      </c>
      <c r="G36" s="996"/>
      <c r="I36" s="561"/>
      <c r="J36" s="562"/>
    </row>
    <row r="37" spans="1:10" ht="15.75" x14ac:dyDescent="0.25">
      <c r="A37" s="765" t="s">
        <v>3</v>
      </c>
      <c r="B37" s="995" t="s">
        <v>500</v>
      </c>
      <c r="C37" s="996"/>
      <c r="D37" s="995" t="s">
        <v>525</v>
      </c>
      <c r="E37" s="996"/>
      <c r="F37" s="995" t="s">
        <v>512</v>
      </c>
      <c r="G37" s="996"/>
      <c r="I37" s="561"/>
      <c r="J37" s="562"/>
    </row>
    <row r="38" spans="1:10" ht="15.75" x14ac:dyDescent="0.25">
      <c r="A38" s="765" t="s">
        <v>4</v>
      </c>
      <c r="B38" s="995" t="s">
        <v>501</v>
      </c>
      <c r="C38" s="996"/>
      <c r="D38" s="995" t="s">
        <v>526</v>
      </c>
      <c r="E38" s="996"/>
      <c r="F38" s="995" t="s">
        <v>513</v>
      </c>
      <c r="G38" s="996"/>
      <c r="I38" s="561"/>
      <c r="J38" s="562"/>
    </row>
    <row r="39" spans="1:10" ht="15.75" x14ac:dyDescent="0.25">
      <c r="A39" s="765" t="s">
        <v>5</v>
      </c>
      <c r="B39" s="995" t="s">
        <v>502</v>
      </c>
      <c r="C39" s="996"/>
      <c r="D39" s="995" t="s">
        <v>527</v>
      </c>
      <c r="E39" s="996"/>
      <c r="F39" s="995" t="s">
        <v>514</v>
      </c>
      <c r="G39" s="996"/>
      <c r="I39" s="561"/>
      <c r="J39" s="562"/>
    </row>
    <row r="40" spans="1:10" ht="15.75" x14ac:dyDescent="0.25">
      <c r="A40" s="765" t="s">
        <v>6</v>
      </c>
      <c r="B40" s="995" t="s">
        <v>503</v>
      </c>
      <c r="C40" s="996"/>
      <c r="D40" s="995" t="s">
        <v>528</v>
      </c>
      <c r="E40" s="996"/>
      <c r="F40" s="995" t="s">
        <v>515</v>
      </c>
      <c r="G40" s="996"/>
      <c r="I40" s="561"/>
      <c r="J40" s="562"/>
    </row>
    <row r="41" spans="1:10" ht="15.75" x14ac:dyDescent="0.25">
      <c r="A41" s="765" t="s">
        <v>7</v>
      </c>
      <c r="B41" s="995" t="s">
        <v>504</v>
      </c>
      <c r="C41" s="996"/>
      <c r="D41" s="995" t="s">
        <v>529</v>
      </c>
      <c r="E41" s="996"/>
      <c r="F41" s="995" t="s">
        <v>516</v>
      </c>
      <c r="G41" s="996"/>
      <c r="I41" s="561"/>
      <c r="J41" s="562"/>
    </row>
    <row r="42" spans="1:10" ht="15.75" x14ac:dyDescent="0.25">
      <c r="A42" s="765" t="s">
        <v>8</v>
      </c>
      <c r="B42" s="995" t="s">
        <v>505</v>
      </c>
      <c r="C42" s="996"/>
      <c r="D42" s="995" t="s">
        <v>530</v>
      </c>
      <c r="E42" s="996"/>
      <c r="F42" s="995" t="s">
        <v>517</v>
      </c>
      <c r="G42" s="996"/>
      <c r="I42" s="561"/>
      <c r="J42" s="562"/>
    </row>
    <row r="43" spans="1:10" ht="15.75" x14ac:dyDescent="0.25">
      <c r="A43" s="765" t="s">
        <v>9</v>
      </c>
      <c r="B43" s="995" t="s">
        <v>506</v>
      </c>
      <c r="C43" s="996"/>
      <c r="D43" s="995" t="s">
        <v>531</v>
      </c>
      <c r="E43" s="996"/>
      <c r="F43" s="995" t="s">
        <v>518</v>
      </c>
      <c r="G43" s="996"/>
      <c r="I43" s="561"/>
      <c r="J43" s="563"/>
    </row>
    <row r="44" spans="1:10" ht="15.75" x14ac:dyDescent="0.25">
      <c r="A44" s="765" t="s">
        <v>10</v>
      </c>
      <c r="B44" s="995" t="s">
        <v>507</v>
      </c>
      <c r="C44" s="996"/>
      <c r="D44" s="995" t="s">
        <v>532</v>
      </c>
      <c r="E44" s="996"/>
      <c r="F44" s="995" t="s">
        <v>519</v>
      </c>
      <c r="G44" s="996"/>
      <c r="I44" s="561"/>
      <c r="J44" s="562"/>
    </row>
    <row r="45" spans="1:10" ht="15.75" x14ac:dyDescent="0.25">
      <c r="A45" s="765" t="s">
        <v>11</v>
      </c>
      <c r="B45" s="995" t="s">
        <v>508</v>
      </c>
      <c r="C45" s="996"/>
      <c r="D45" s="995" t="s">
        <v>533</v>
      </c>
      <c r="E45" s="996"/>
      <c r="F45" s="995" t="s">
        <v>520</v>
      </c>
      <c r="G45" s="996"/>
      <c r="I45" s="561"/>
      <c r="J45" s="562"/>
    </row>
    <row r="46" spans="1:10" ht="15.75" x14ac:dyDescent="0.25">
      <c r="A46" s="766" t="s">
        <v>12</v>
      </c>
      <c r="B46" s="997" t="s">
        <v>509</v>
      </c>
      <c r="C46" s="998"/>
      <c r="D46" s="997" t="s">
        <v>534</v>
      </c>
      <c r="E46" s="998"/>
      <c r="F46" s="997" t="s">
        <v>521</v>
      </c>
      <c r="G46" s="998"/>
      <c r="I46" s="564"/>
      <c r="J46" s="562"/>
    </row>
  </sheetData>
  <mergeCells count="132">
    <mergeCell ref="F46:G46"/>
    <mergeCell ref="F41:G41"/>
    <mergeCell ref="F42:G42"/>
    <mergeCell ref="F43:G43"/>
    <mergeCell ref="F44:G44"/>
    <mergeCell ref="F45:G45"/>
    <mergeCell ref="F36:G36"/>
    <mergeCell ref="F37:G37"/>
    <mergeCell ref="F38:G38"/>
    <mergeCell ref="F39:G39"/>
    <mergeCell ref="F40:G40"/>
    <mergeCell ref="B46:C46"/>
    <mergeCell ref="D35:E35"/>
    <mergeCell ref="D36:E36"/>
    <mergeCell ref="D37:E37"/>
    <mergeCell ref="D38:E38"/>
    <mergeCell ref="D39:E39"/>
    <mergeCell ref="D40:E40"/>
    <mergeCell ref="D41:E41"/>
    <mergeCell ref="D42:E42"/>
    <mergeCell ref="D43:E43"/>
    <mergeCell ref="D44:E44"/>
    <mergeCell ref="D45:E45"/>
    <mergeCell ref="D46:E46"/>
    <mergeCell ref="B41:C41"/>
    <mergeCell ref="B42:C42"/>
    <mergeCell ref="B43:C43"/>
    <mergeCell ref="B44:C44"/>
    <mergeCell ref="B45:C45"/>
    <mergeCell ref="B36:C36"/>
    <mergeCell ref="B37:C37"/>
    <mergeCell ref="B38:C38"/>
    <mergeCell ref="B39:C39"/>
    <mergeCell ref="B40:C40"/>
    <mergeCell ref="F32:G32"/>
    <mergeCell ref="B35:C35"/>
    <mergeCell ref="F35:G35"/>
    <mergeCell ref="F24:G24"/>
    <mergeCell ref="F25:G25"/>
    <mergeCell ref="F26:G26"/>
    <mergeCell ref="F27:G27"/>
    <mergeCell ref="F28:G28"/>
    <mergeCell ref="B29:C29"/>
    <mergeCell ref="B30:C30"/>
    <mergeCell ref="B31:C31"/>
    <mergeCell ref="B32:C32"/>
    <mergeCell ref="D30:E30"/>
    <mergeCell ref="D31:E31"/>
    <mergeCell ref="D32:E32"/>
    <mergeCell ref="B24:C24"/>
    <mergeCell ref="B25:C25"/>
    <mergeCell ref="B26:C26"/>
    <mergeCell ref="B27:C27"/>
    <mergeCell ref="B28:C28"/>
    <mergeCell ref="D24:E24"/>
    <mergeCell ref="D25:E25"/>
    <mergeCell ref="D26:E26"/>
    <mergeCell ref="D27:E27"/>
    <mergeCell ref="D28:E28"/>
    <mergeCell ref="D29:E29"/>
    <mergeCell ref="F29:G29"/>
    <mergeCell ref="F30:G30"/>
    <mergeCell ref="F31:G31"/>
    <mergeCell ref="B23:C23"/>
    <mergeCell ref="F21:G21"/>
    <mergeCell ref="F22:G22"/>
    <mergeCell ref="F23:G23"/>
    <mergeCell ref="B21:C21"/>
    <mergeCell ref="B22:C22"/>
    <mergeCell ref="F12:G12"/>
    <mergeCell ref="F13:G13"/>
    <mergeCell ref="F14:G14"/>
    <mergeCell ref="F15:G15"/>
    <mergeCell ref="F16:G16"/>
    <mergeCell ref="D21:E21"/>
    <mergeCell ref="D22:E22"/>
    <mergeCell ref="D23:E23"/>
    <mergeCell ref="D14:E14"/>
    <mergeCell ref="D15:E15"/>
    <mergeCell ref="D16:E16"/>
    <mergeCell ref="D17:E17"/>
    <mergeCell ref="D18:E18"/>
    <mergeCell ref="F17:G17"/>
    <mergeCell ref="F18:G18"/>
    <mergeCell ref="A1:G1"/>
    <mergeCell ref="A2:G2"/>
    <mergeCell ref="F34:G34"/>
    <mergeCell ref="A19:A20"/>
    <mergeCell ref="B19:C19"/>
    <mergeCell ref="D19:E19"/>
    <mergeCell ref="F19:G19"/>
    <mergeCell ref="B20:C20"/>
    <mergeCell ref="D20:E20"/>
    <mergeCell ref="F20:G20"/>
    <mergeCell ref="A33:A34"/>
    <mergeCell ref="B7:C7"/>
    <mergeCell ref="B8:C8"/>
    <mergeCell ref="B9:C9"/>
    <mergeCell ref="B10:C10"/>
    <mergeCell ref="B11:C11"/>
    <mergeCell ref="F7:G7"/>
    <mergeCell ref="F8:G8"/>
    <mergeCell ref="F9:G9"/>
    <mergeCell ref="F10:G10"/>
    <mergeCell ref="F11:G11"/>
    <mergeCell ref="B15:C15"/>
    <mergeCell ref="B16:C16"/>
    <mergeCell ref="B17:C17"/>
    <mergeCell ref="I33:J33"/>
    <mergeCell ref="I34:J34"/>
    <mergeCell ref="B5:C5"/>
    <mergeCell ref="D5:E5"/>
    <mergeCell ref="F5:G5"/>
    <mergeCell ref="F6:G6"/>
    <mergeCell ref="B6:C6"/>
    <mergeCell ref="D6:E6"/>
    <mergeCell ref="B33:C33"/>
    <mergeCell ref="D33:E33"/>
    <mergeCell ref="F33:G33"/>
    <mergeCell ref="B34:C34"/>
    <mergeCell ref="D34:E34"/>
    <mergeCell ref="B12:C12"/>
    <mergeCell ref="B13:C13"/>
    <mergeCell ref="B14:C14"/>
    <mergeCell ref="B18:C18"/>
    <mergeCell ref="D7:E7"/>
    <mergeCell ref="D8:E8"/>
    <mergeCell ref="D9:E9"/>
    <mergeCell ref="D10:E10"/>
    <mergeCell ref="D11:E11"/>
    <mergeCell ref="D12:E12"/>
    <mergeCell ref="D13:E13"/>
  </mergeCells>
  <printOptions horizontalCentered="1"/>
  <pageMargins left="0.51181102362204722" right="0.47244094488188981" top="0.59055118110236227" bottom="0.43307086614173229" header="0.15748031496062992" footer="0.31496062992125984"/>
  <pageSetup scale="8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9" tint="0.39997558519241921"/>
  </sheetPr>
  <dimension ref="A1:T26"/>
  <sheetViews>
    <sheetView workbookViewId="0">
      <selection activeCell="I12" sqref="I12:K12"/>
    </sheetView>
  </sheetViews>
  <sheetFormatPr baseColWidth="10" defaultRowHeight="12.75" x14ac:dyDescent="0.2"/>
  <cols>
    <col min="1" max="1" width="16.42578125" style="500" bestFit="1" customWidth="1"/>
    <col min="2" max="2" width="9.140625" style="500" hidden="1" customWidth="1"/>
    <col min="3" max="10" width="9.5703125" style="500" bestFit="1" customWidth="1"/>
    <col min="11" max="11" width="9.7109375" style="500" bestFit="1" customWidth="1"/>
    <col min="12" max="14" width="9.5703125" style="500" bestFit="1" customWidth="1"/>
    <col min="15" max="15" width="10.85546875" style="500" bestFit="1" customWidth="1"/>
    <col min="16" max="16" width="12.7109375" style="500" bestFit="1" customWidth="1"/>
    <col min="17" max="19" width="11.42578125" style="500"/>
    <col min="20" max="20" width="11.7109375" style="500" bestFit="1" customWidth="1"/>
    <col min="21" max="16384" width="11.42578125" style="500"/>
  </cols>
  <sheetData>
    <row r="1" spans="1:17" x14ac:dyDescent="0.2">
      <c r="A1" s="1193" t="s">
        <v>320</v>
      </c>
      <c r="B1" s="1193"/>
      <c r="C1" s="1193"/>
      <c r="D1" s="1193"/>
      <c r="E1" s="1193"/>
      <c r="F1" s="1193"/>
      <c r="G1" s="1193"/>
      <c r="H1" s="1193"/>
      <c r="I1" s="1193"/>
      <c r="J1" s="1193"/>
      <c r="K1" s="1193"/>
      <c r="L1" s="1193"/>
      <c r="M1" s="1193"/>
      <c r="N1" s="1193"/>
      <c r="O1" s="1193"/>
    </row>
    <row r="2" spans="1:17" ht="13.5" thickBot="1" x14ac:dyDescent="0.25"/>
    <row r="3" spans="1:17" ht="23.25" thickBot="1" x14ac:dyDescent="0.25">
      <c r="A3" s="527" t="s">
        <v>291</v>
      </c>
      <c r="B3" s="528" t="s">
        <v>257</v>
      </c>
      <c r="C3" s="527" t="s">
        <v>1</v>
      </c>
      <c r="D3" s="529" t="s">
        <v>2</v>
      </c>
      <c r="E3" s="527" t="s">
        <v>3</v>
      </c>
      <c r="F3" s="529" t="s">
        <v>4</v>
      </c>
      <c r="G3" s="527" t="s">
        <v>5</v>
      </c>
      <c r="H3" s="527" t="s">
        <v>6</v>
      </c>
      <c r="I3" s="527" t="s">
        <v>7</v>
      </c>
      <c r="J3" s="529" t="s">
        <v>8</v>
      </c>
      <c r="K3" s="527" t="s">
        <v>9</v>
      </c>
      <c r="L3" s="529" t="s">
        <v>10</v>
      </c>
      <c r="M3" s="527" t="s">
        <v>11</v>
      </c>
      <c r="N3" s="527" t="s">
        <v>12</v>
      </c>
      <c r="O3" s="530" t="s">
        <v>160</v>
      </c>
    </row>
    <row r="4" spans="1:17" x14ac:dyDescent="0.2">
      <c r="A4" s="505" t="s">
        <v>258</v>
      </c>
      <c r="B4" s="525"/>
      <c r="C4" s="507">
        <f>F.G.P.INCREMENTO!C7</f>
        <v>2910721.4697859176</v>
      </c>
      <c r="D4" s="507">
        <f>F.G.P.INCREMENTO!D7</f>
        <v>4449337.7109663663</v>
      </c>
      <c r="E4" s="507">
        <f>F.G.P.INCREMENTO!E7</f>
        <v>3027800.3537586844</v>
      </c>
      <c r="F4" s="507">
        <f>F.G.P.INCREMENTO!F7</f>
        <v>5293971.9784217477</v>
      </c>
      <c r="G4" s="507">
        <f>F.G.P.INCREMENTO!G7</f>
        <v>4397421.896080846</v>
      </c>
      <c r="H4" s="507">
        <f>F.G.P.INCREMENTO!H7</f>
        <v>4658896.0365701029</v>
      </c>
      <c r="I4" s="507">
        <f>F.G.P.INCREMENTO!I7</f>
        <v>3232289.2971575977</v>
      </c>
      <c r="J4" s="507">
        <f>F.G.P.INCREMENTO!J7</f>
        <v>3972363.5722608669</v>
      </c>
      <c r="K4" s="507">
        <f>F.G.P.INCREMENTO!K7</f>
        <v>3162652.4486998036</v>
      </c>
      <c r="L4" s="507">
        <f>F.G.P.INCREMENTO!L7</f>
        <v>1846251.7518681497</v>
      </c>
      <c r="M4" s="507">
        <f>F.G.P.INCREMENTO!M7</f>
        <v>3307201.6167490166</v>
      </c>
      <c r="N4" s="507">
        <f>F.G.P.INCREMENTO!N7</f>
        <v>3165886.5963796228</v>
      </c>
      <c r="O4" s="508">
        <f>SUM(C4:N4)</f>
        <v>43424794.728698723</v>
      </c>
      <c r="P4" s="509"/>
      <c r="Q4" s="509"/>
    </row>
    <row r="5" spans="1:17" x14ac:dyDescent="0.2">
      <c r="A5" s="505" t="s">
        <v>141</v>
      </c>
      <c r="B5" s="525"/>
      <c r="C5" s="507">
        <f>F.G.P.INCREMENTO!C8</f>
        <v>2364381.6259735185</v>
      </c>
      <c r="D5" s="507">
        <f>F.G.P.INCREMENTO!D8</f>
        <v>3614200.9604009576</v>
      </c>
      <c r="E5" s="507">
        <f>F.G.P.INCREMENTO!E8</f>
        <v>2459484.9070425434</v>
      </c>
      <c r="F5" s="507">
        <f>F.G.P.INCREMENTO!F8</f>
        <v>4300298.1233789008</v>
      </c>
      <c r="G5" s="507">
        <f>F.G.P.INCREMENTO!G8</f>
        <v>3572029.6980225639</v>
      </c>
      <c r="H5" s="507">
        <f>F.G.P.INCREMENTO!H8</f>
        <v>3784425.3737536008</v>
      </c>
      <c r="I5" s="507">
        <f>F.G.P.INCREMENTO!I8</f>
        <v>2625591.4567436697</v>
      </c>
      <c r="J5" s="507">
        <f>F.G.P.INCREMENTO!J8</f>
        <v>3226754.4453955996</v>
      </c>
      <c r="K5" s="507">
        <f>F.G.P.INCREMENTO!K8</f>
        <v>2569025.3831109283</v>
      </c>
      <c r="L5" s="507">
        <f>F.G.P.INCREMENTO!L8</f>
        <v>1499711.9320247206</v>
      </c>
      <c r="M5" s="507">
        <f>F.G.P.INCREMENTO!M8</f>
        <v>2686442.8002471877</v>
      </c>
      <c r="N5" s="507">
        <f>F.G.P.INCREMENTO!N8</f>
        <v>2571652.4841335532</v>
      </c>
      <c r="O5" s="508">
        <f t="shared" ref="O5:O23" si="0">SUM(C5:N5)</f>
        <v>35273999.190227747</v>
      </c>
      <c r="P5" s="509"/>
      <c r="Q5" s="509"/>
    </row>
    <row r="6" spans="1:17" x14ac:dyDescent="0.2">
      <c r="A6" s="505" t="s">
        <v>142</v>
      </c>
      <c r="B6" s="525"/>
      <c r="C6" s="507">
        <f>F.G.P.INCREMENTO!C9</f>
        <v>2180054.2081783493</v>
      </c>
      <c r="D6" s="507">
        <f>F.G.P.INCREMENTO!D9</f>
        <v>3332437.5077056992</v>
      </c>
      <c r="E6" s="507">
        <f>F.G.P.INCREMENTO!E9</f>
        <v>2267743.2283553397</v>
      </c>
      <c r="F6" s="507">
        <f>F.G.P.INCREMENTO!F9</f>
        <v>3965046.4702091338</v>
      </c>
      <c r="G6" s="507">
        <f>F.G.P.INCREMENTO!G9</f>
        <v>3293553.9209774537</v>
      </c>
      <c r="H6" s="507">
        <f>F.G.P.INCREMENTO!H9</f>
        <v>3489391.2095055608</v>
      </c>
      <c r="I6" s="507">
        <f>F.G.P.INCREMENTO!I9</f>
        <v>2420900.0955479718</v>
      </c>
      <c r="J6" s="507">
        <f>F.G.P.INCREMENTO!J9</f>
        <v>2975196.3600827185</v>
      </c>
      <c r="K6" s="507">
        <f>F.G.P.INCREMENTO!K9</f>
        <v>2368743.9184281258</v>
      </c>
      <c r="L6" s="507">
        <f>F.G.P.INCREMENTO!L9</f>
        <v>1382794.2463051409</v>
      </c>
      <c r="M6" s="507">
        <f>F.G.P.INCREMENTO!M9</f>
        <v>2477007.4624894354</v>
      </c>
      <c r="N6" s="507">
        <f>F.G.P.INCREMENTO!N9</f>
        <v>2371166.2104036547</v>
      </c>
      <c r="O6" s="508">
        <f t="shared" si="0"/>
        <v>32524034.838188585</v>
      </c>
      <c r="P6" s="509"/>
      <c r="Q6" s="509"/>
    </row>
    <row r="7" spans="1:17" x14ac:dyDescent="0.2">
      <c r="A7" s="505" t="s">
        <v>259</v>
      </c>
      <c r="B7" s="525"/>
      <c r="C7" s="507">
        <f>F.G.P.INCREMENTO!C10</f>
        <v>8902146.0951590426</v>
      </c>
      <c r="D7" s="507">
        <f>F.G.P.INCREMENTO!D10</f>
        <v>13607847.655940888</v>
      </c>
      <c r="E7" s="507">
        <f>F.G.P.INCREMENTO!E10</f>
        <v>9260219.9749866463</v>
      </c>
      <c r="F7" s="507">
        <f>F.G.P.INCREMENTO!F10</f>
        <v>16191075.808794163</v>
      </c>
      <c r="G7" s="507">
        <f>F.G.P.INCREMENTO!G10</f>
        <v>13449068.407030437</v>
      </c>
      <c r="H7" s="507">
        <f>F.G.P.INCREMENTO!H10</f>
        <v>14248760.518729705</v>
      </c>
      <c r="I7" s="507">
        <f>F.G.P.INCREMENTO!I10</f>
        <v>9885628.6469870359</v>
      </c>
      <c r="J7" s="507">
        <f>F.G.P.INCREMENTO!J10</f>
        <v>12149070.679014506</v>
      </c>
      <c r="K7" s="507">
        <f>F.G.P.INCREMENTO!K10</f>
        <v>9672651.4160796311</v>
      </c>
      <c r="L7" s="507">
        <f>F.G.P.INCREMENTO!L10</f>
        <v>5646573.5365542984</v>
      </c>
      <c r="M7" s="507">
        <f>F.G.P.INCREMENTO!M10</f>
        <v>10114740.37074778</v>
      </c>
      <c r="N7" s="507">
        <f>F.G.P.INCREMENTO!N10</f>
        <v>9682542.7284013126</v>
      </c>
      <c r="O7" s="508">
        <f t="shared" si="0"/>
        <v>132810325.83842543</v>
      </c>
      <c r="P7" s="509"/>
      <c r="Q7" s="509"/>
    </row>
    <row r="8" spans="1:17" x14ac:dyDescent="0.2">
      <c r="A8" s="505" t="s">
        <v>144</v>
      </c>
      <c r="B8" s="525"/>
      <c r="C8" s="507">
        <f>F.G.P.INCREMENTO!C11</f>
        <v>4647548.1575872162</v>
      </c>
      <c r="D8" s="507">
        <f>F.G.P.INCREMENTO!D11</f>
        <v>7104256.2800094904</v>
      </c>
      <c r="E8" s="507">
        <f>F.G.P.INCREMENTO!E11</f>
        <v>4834487.9789161263</v>
      </c>
      <c r="F8" s="507">
        <f>F.G.P.INCREMENTO!F11</f>
        <v>8452883.5788750201</v>
      </c>
      <c r="G8" s="507">
        <f>F.G.P.INCREMENTO!G11</f>
        <v>7021362.3128864244</v>
      </c>
      <c r="H8" s="507">
        <f>F.G.P.INCREMENTO!H11</f>
        <v>7438857.9999529449</v>
      </c>
      <c r="I8" s="507">
        <f>F.G.P.INCREMENTO!I11</f>
        <v>5160995.4177094623</v>
      </c>
      <c r="J8" s="507">
        <f>F.G.P.INCREMENTO!J11</f>
        <v>6342671.8059991561</v>
      </c>
      <c r="K8" s="507">
        <f>F.G.P.INCREMENTO!K11</f>
        <v>5049806.2812325852</v>
      </c>
      <c r="L8" s="507">
        <f>F.G.P.INCREMENTO!L11</f>
        <v>2947909.6563877291</v>
      </c>
      <c r="M8" s="507">
        <f>F.G.P.INCREMENTO!M11</f>
        <v>5280607.8974714959</v>
      </c>
      <c r="N8" s="507">
        <f>F.G.P.INCREMENTO!N11</f>
        <v>5054970.2439293722</v>
      </c>
      <c r="O8" s="508">
        <f t="shared" si="0"/>
        <v>69336357.610957026</v>
      </c>
      <c r="P8" s="509"/>
      <c r="Q8" s="509"/>
    </row>
    <row r="9" spans="1:17" x14ac:dyDescent="0.2">
      <c r="A9" s="505" t="s">
        <v>260</v>
      </c>
      <c r="B9" s="525"/>
      <c r="C9" s="507">
        <f>F.G.P.INCREMENTO!C12</f>
        <v>4319859.5019997628</v>
      </c>
      <c r="D9" s="507">
        <f>F.G.P.INCREMENTO!D12</f>
        <v>6603350.4022415439</v>
      </c>
      <c r="E9" s="507">
        <f>F.G.P.INCREMENTO!E12</f>
        <v>4493618.5973523268</v>
      </c>
      <c r="F9" s="507">
        <f>F.G.P.INCREMENTO!F12</f>
        <v>7856888.8819127353</v>
      </c>
      <c r="G9" s="507">
        <f>F.G.P.INCREMENTO!G12</f>
        <v>6526301.1110038729</v>
      </c>
      <c r="H9" s="507">
        <f>F.G.P.INCREMENTO!H12</f>
        <v>6914360.0723454449</v>
      </c>
      <c r="I9" s="507">
        <f>F.G.P.INCREMENTO!I12</f>
        <v>4797104.6967147151</v>
      </c>
      <c r="J9" s="507">
        <f>F.G.P.INCREMENTO!J12</f>
        <v>5895463.6165482858</v>
      </c>
      <c r="K9" s="507">
        <f>F.G.P.INCREMENTO!K12</f>
        <v>4693755.2678455058</v>
      </c>
      <c r="L9" s="507">
        <f>F.G.P.INCREMENTO!L12</f>
        <v>2740058.867253257</v>
      </c>
      <c r="M9" s="507">
        <f>F.G.P.INCREMENTO!M12</f>
        <v>4908283.5569948908</v>
      </c>
      <c r="N9" s="507">
        <f>F.G.P.INCREMENTO!N12</f>
        <v>4698555.1306048129</v>
      </c>
      <c r="O9" s="508">
        <f t="shared" si="0"/>
        <v>64447599.702817149</v>
      </c>
      <c r="P9" s="509"/>
      <c r="Q9" s="509"/>
    </row>
    <row r="10" spans="1:17" x14ac:dyDescent="0.2">
      <c r="A10" s="505" t="s">
        <v>146</v>
      </c>
      <c r="B10" s="525"/>
      <c r="C10" s="507">
        <f>F.G.P.INCREMENTO!C13</f>
        <v>2212622.5397992069</v>
      </c>
      <c r="D10" s="507">
        <f>F.G.P.INCREMENTO!D13</f>
        <v>3382221.5586937852</v>
      </c>
      <c r="E10" s="507">
        <f>F.G.P.INCREMENTO!E13</f>
        <v>2301621.5664328798</v>
      </c>
      <c r="F10" s="507">
        <f>F.G.P.INCREMENTO!F13</f>
        <v>4024281.2121019904</v>
      </c>
      <c r="G10" s="507">
        <f>F.G.P.INCREMENTO!G13</f>
        <v>3342757.0811131825</v>
      </c>
      <c r="H10" s="507">
        <f>F.G.P.INCREMENTO!H13</f>
        <v>3541520.0279724384</v>
      </c>
      <c r="I10" s="507">
        <f>F.G.P.INCREMENTO!I13</f>
        <v>2457066.4793181508</v>
      </c>
      <c r="J10" s="507">
        <f>F.G.P.INCREMENTO!J13</f>
        <v>3019643.5033366974</v>
      </c>
      <c r="K10" s="507">
        <f>F.G.P.INCREMENTO!K13</f>
        <v>2404131.1290630023</v>
      </c>
      <c r="L10" s="507">
        <f>F.G.P.INCREMENTO!L13</f>
        <v>1403452.1278422752</v>
      </c>
      <c r="M10" s="507">
        <f>F.G.P.INCREMENTO!M13</f>
        <v>2514012.0471291463</v>
      </c>
      <c r="N10" s="507">
        <f>F.G.P.INCREMENTO!N13</f>
        <v>2406589.6082159169</v>
      </c>
      <c r="O10" s="508">
        <f t="shared" si="0"/>
        <v>33009918.881018668</v>
      </c>
      <c r="P10" s="509"/>
      <c r="Q10" s="509"/>
    </row>
    <row r="11" spans="1:17" x14ac:dyDescent="0.2">
      <c r="A11" s="505" t="s">
        <v>147</v>
      </c>
      <c r="B11" s="525"/>
      <c r="C11" s="507">
        <f>F.G.P.INCREMENTO!C14</f>
        <v>2711972.2149912436</v>
      </c>
      <c r="D11" s="507">
        <f>F.G.P.INCREMENTO!D14</f>
        <v>4145528.9942740588</v>
      </c>
      <c r="E11" s="507">
        <f>F.G.P.INCREMENTO!E14</f>
        <v>2821056.7438931726</v>
      </c>
      <c r="F11" s="507">
        <f>F.G.P.INCREMENTO!F14</f>
        <v>4932490.1270879628</v>
      </c>
      <c r="G11" s="507">
        <f>F.G.P.INCREMENTO!G14</f>
        <v>4097158.0838487083</v>
      </c>
      <c r="H11" s="507">
        <f>F.G.P.INCREMENTO!H14</f>
        <v>4340778.303545557</v>
      </c>
      <c r="I11" s="507">
        <f>F.G.P.INCREMENTO!I14</f>
        <v>3011582.8174207634</v>
      </c>
      <c r="J11" s="507">
        <f>F.G.P.INCREMENTO!J14</f>
        <v>3701123.5006993562</v>
      </c>
      <c r="K11" s="507">
        <f>F.G.P.INCREMENTO!K14</f>
        <v>2946700.8972104508</v>
      </c>
      <c r="L11" s="507">
        <f>F.G.P.INCREMENTO!L14</f>
        <v>1720186.3884673207</v>
      </c>
      <c r="M11" s="507">
        <f>F.G.P.INCREMENTO!M14</f>
        <v>3081379.9901840561</v>
      </c>
      <c r="N11" s="507">
        <f>F.G.P.INCREMENTO!N14</f>
        <v>2949714.2115168502</v>
      </c>
      <c r="O11" s="508">
        <f t="shared" si="0"/>
        <v>40459672.273139492</v>
      </c>
      <c r="P11" s="509"/>
      <c r="Q11" s="509"/>
    </row>
    <row r="12" spans="1:17" x14ac:dyDescent="0.2">
      <c r="A12" s="505" t="s">
        <v>148</v>
      </c>
      <c r="B12" s="525"/>
      <c r="C12" s="507">
        <f>F.G.P.INCREMENTO!C15</f>
        <v>2400461.8377415799</v>
      </c>
      <c r="D12" s="507">
        <f>F.G.P.INCREMENTO!D15</f>
        <v>3669353.2820867198</v>
      </c>
      <c r="E12" s="507">
        <f>F.G.P.INCREMENTO!E15</f>
        <v>2497016.3847497045</v>
      </c>
      <c r="F12" s="507">
        <f>F.G.P.INCREMENTO!F15</f>
        <v>4365920.2146914331</v>
      </c>
      <c r="G12" s="507">
        <f>F.G.P.INCREMENTO!G15</f>
        <v>3626538.4907363425</v>
      </c>
      <c r="H12" s="507">
        <f>F.G.P.INCREMENTO!H15</f>
        <v>3842175.3018555134</v>
      </c>
      <c r="I12" s="507">
        <f>F.G.P.INCREMENTO!I15</f>
        <v>2665657.7027062769</v>
      </c>
      <c r="J12" s="507">
        <f>F.G.P.INCREMENTO!J15</f>
        <v>3275994.3745316034</v>
      </c>
      <c r="K12" s="507">
        <f>F.G.P.INCREMENTO!K15</f>
        <v>2608228.4368150877</v>
      </c>
      <c r="L12" s="507">
        <f>F.G.P.INCREMENTO!L15</f>
        <v>1522597.376364215</v>
      </c>
      <c r="M12" s="507">
        <f>F.G.P.INCREMENTO!M15</f>
        <v>2727437.6312300209</v>
      </c>
      <c r="N12" s="507">
        <f>F.G.P.INCREMENTO!N15</f>
        <v>2610895.6271194895</v>
      </c>
      <c r="O12" s="508">
        <f t="shared" si="0"/>
        <v>35812276.660627984</v>
      </c>
      <c r="P12" s="509"/>
      <c r="Q12" s="509"/>
    </row>
    <row r="13" spans="1:17" x14ac:dyDescent="0.2">
      <c r="A13" s="505" t="s">
        <v>149</v>
      </c>
      <c r="B13" s="525"/>
      <c r="C13" s="507">
        <f>F.G.P.INCREMENTO!C16</f>
        <v>2234557.7271338673</v>
      </c>
      <c r="D13" s="507">
        <f>F.G.P.INCREMENTO!D16</f>
        <v>3415751.7529148054</v>
      </c>
      <c r="E13" s="507">
        <f>F.G.P.INCREMENTO!E16</f>
        <v>2324439.0598485353</v>
      </c>
      <c r="F13" s="507">
        <f>F.G.P.INCREMENTO!F16</f>
        <v>4064176.5673589348</v>
      </c>
      <c r="G13" s="507">
        <f>F.G.P.INCREMENTO!G16</f>
        <v>3375896.0379255516</v>
      </c>
      <c r="H13" s="507">
        <f>F.G.P.INCREMENTO!H16</f>
        <v>3576629.4530396149</v>
      </c>
      <c r="I13" s="507">
        <f>F.G.P.INCREMENTO!I16</f>
        <v>2481425.0007324941</v>
      </c>
      <c r="J13" s="507">
        <f>F.G.P.INCREMENTO!J16</f>
        <v>3049579.2220316678</v>
      </c>
      <c r="K13" s="507">
        <f>F.G.P.INCREMENTO!K16</f>
        <v>2427964.8674185155</v>
      </c>
      <c r="L13" s="507">
        <f>F.G.P.INCREMENTO!L16</f>
        <v>1417365.4749160341</v>
      </c>
      <c r="M13" s="507">
        <f>F.G.P.INCREMENTO!M16</f>
        <v>2538935.1075352724</v>
      </c>
      <c r="N13" s="507">
        <f>F.G.P.INCREMENTO!N16</f>
        <v>2430447.7190976096</v>
      </c>
      <c r="O13" s="508">
        <f t="shared" si="0"/>
        <v>33337167.989952907</v>
      </c>
      <c r="P13" s="509"/>
      <c r="Q13" s="509"/>
    </row>
    <row r="14" spans="1:17" x14ac:dyDescent="0.2">
      <c r="A14" s="505" t="s">
        <v>150</v>
      </c>
      <c r="B14" s="525"/>
      <c r="C14" s="507">
        <f>F.G.P.INCREMENTO!C17</f>
        <v>3033448.0660504354</v>
      </c>
      <c r="D14" s="507">
        <f>F.G.P.INCREMENTO!D17</f>
        <v>4636937.9601026829</v>
      </c>
      <c r="E14" s="507">
        <f>F.G.P.INCREMENTO!E17</f>
        <v>3155463.4212979632</v>
      </c>
      <c r="F14" s="507">
        <f>F.G.P.INCREMENTO!F17</f>
        <v>5517185.0781207802</v>
      </c>
      <c r="G14" s="507">
        <f>F.G.P.INCREMENTO!G17</f>
        <v>4582833.1857721126</v>
      </c>
      <c r="H14" s="507">
        <f>F.G.P.INCREMENTO!H17</f>
        <v>4855332.026359451</v>
      </c>
      <c r="I14" s="507">
        <f>F.G.P.INCREMENTO!I17</f>
        <v>3368574.3617713409</v>
      </c>
      <c r="J14" s="507">
        <f>F.G.P.INCREMENTO!J17</f>
        <v>4139852.8581335526</v>
      </c>
      <c r="K14" s="507">
        <f>F.G.P.INCREMENTO!K17</f>
        <v>3296001.3706854987</v>
      </c>
      <c r="L14" s="507">
        <f>F.G.P.INCREMENTO!L17</f>
        <v>1924096.4359803835</v>
      </c>
      <c r="M14" s="507">
        <f>F.G.P.INCREMENTO!M17</f>
        <v>3446645.2570276489</v>
      </c>
      <c r="N14" s="507">
        <f>F.G.P.INCREMENTO!N17</f>
        <v>3299371.8817860996</v>
      </c>
      <c r="O14" s="508">
        <f t="shared" si="0"/>
        <v>45255741.903087951</v>
      </c>
      <c r="P14" s="509"/>
      <c r="Q14" s="509"/>
    </row>
    <row r="15" spans="1:17" x14ac:dyDescent="0.2">
      <c r="A15" s="505" t="s">
        <v>151</v>
      </c>
      <c r="B15" s="525"/>
      <c r="C15" s="507">
        <f>F.G.P.INCREMENTO!C18</f>
        <v>2484350.3038959806</v>
      </c>
      <c r="D15" s="507">
        <f>F.G.P.INCREMENTO!D18</f>
        <v>3797585.4471531194</v>
      </c>
      <c r="E15" s="507">
        <f>F.G.P.INCREMENTO!E18</f>
        <v>2584279.1236050469</v>
      </c>
      <c r="F15" s="507">
        <f>F.G.P.INCREMENTO!F18</f>
        <v>4518495.1668962697</v>
      </c>
      <c r="G15" s="507">
        <f>F.G.P.INCREMENTO!G18</f>
        <v>3753274.415738171</v>
      </c>
      <c r="H15" s="507">
        <f>F.G.P.INCREMENTO!H18</f>
        <v>3976447.0439433707</v>
      </c>
      <c r="I15" s="507">
        <f>F.G.P.INCREMENTO!I18</f>
        <v>2758813.9164218334</v>
      </c>
      <c r="J15" s="507">
        <f>F.G.P.INCREMENTO!J18</f>
        <v>3390479.903478174</v>
      </c>
      <c r="K15" s="507">
        <f>F.G.P.INCREMENTO!K18</f>
        <v>2699377.6813082057</v>
      </c>
      <c r="L15" s="507">
        <f>F.G.P.INCREMENTO!L18</f>
        <v>1575807.2864180566</v>
      </c>
      <c r="M15" s="507">
        <f>F.G.P.INCREMENTO!M18</f>
        <v>2822752.8559165089</v>
      </c>
      <c r="N15" s="507">
        <f>F.G.P.INCREMENTO!N18</f>
        <v>2702138.0813858528</v>
      </c>
      <c r="O15" s="508">
        <f t="shared" si="0"/>
        <v>37063801.226160593</v>
      </c>
      <c r="P15" s="509"/>
      <c r="Q15" s="509"/>
    </row>
    <row r="16" spans="1:17" x14ac:dyDescent="0.2">
      <c r="A16" s="505" t="s">
        <v>152</v>
      </c>
      <c r="B16" s="525"/>
      <c r="C16" s="507">
        <f>F.G.P.INCREMENTO!C19</f>
        <v>3190310.5054752035</v>
      </c>
      <c r="D16" s="507">
        <f>F.G.P.INCREMENTO!D19</f>
        <v>4876718.363144177</v>
      </c>
      <c r="E16" s="507">
        <f>F.G.P.INCREMENTO!E19</f>
        <v>3318635.3889739686</v>
      </c>
      <c r="F16" s="507">
        <f>F.G.P.INCREMENTO!F19</f>
        <v>5802483.8837267589</v>
      </c>
      <c r="G16" s="507">
        <f>F.G.P.INCREMENTO!G19</f>
        <v>4819815.7802798124</v>
      </c>
      <c r="H16" s="507">
        <f>F.G.P.INCREMENTO!H19</f>
        <v>5106405.7910287036</v>
      </c>
      <c r="I16" s="507">
        <f>F.G.P.INCREMENTO!I19</f>
        <v>3542766.4956947565</v>
      </c>
      <c r="J16" s="507">
        <f>F.G.P.INCREMENTO!J19</f>
        <v>4353928.5251786569</v>
      </c>
      <c r="K16" s="507">
        <f>F.G.P.INCREMENTO!K19</f>
        <v>3466440.6872966671</v>
      </c>
      <c r="L16" s="507">
        <f>F.G.P.INCREMENTO!L19</f>
        <v>2023593.2640336668</v>
      </c>
      <c r="M16" s="507">
        <f>F.G.P.INCREMENTO!M19</f>
        <v>3624874.5100351321</v>
      </c>
      <c r="N16" s="507">
        <f>F.G.P.INCREMENTO!N19</f>
        <v>3469985.4906817693</v>
      </c>
      <c r="O16" s="508">
        <f t="shared" si="0"/>
        <v>47595958.685549274</v>
      </c>
      <c r="P16" s="509"/>
      <c r="Q16" s="509"/>
    </row>
    <row r="17" spans="1:20" x14ac:dyDescent="0.2">
      <c r="A17" s="505" t="s">
        <v>261</v>
      </c>
      <c r="B17" s="525"/>
      <c r="C17" s="507">
        <f>F.G.P.INCREMENTO!C20</f>
        <v>2145475.0366444071</v>
      </c>
      <c r="D17" s="507">
        <f>F.G.P.INCREMENTO!D20</f>
        <v>3279579.6806971733</v>
      </c>
      <c r="E17" s="507">
        <f>F.G.P.INCREMENTO!E20</f>
        <v>2231773.1677054437</v>
      </c>
      <c r="F17" s="507">
        <f>F.G.P.INCREMENTO!F20</f>
        <v>3902154.4460020922</v>
      </c>
      <c r="G17" s="507">
        <f>F.G.P.INCREMENTO!G20</f>
        <v>3241312.85029099</v>
      </c>
      <c r="H17" s="507">
        <f>F.G.P.INCREMENTO!H20</f>
        <v>3434043.8439538819</v>
      </c>
      <c r="I17" s="507">
        <f>F.G.P.INCREMENTO!I20</f>
        <v>2382500.7202680139</v>
      </c>
      <c r="J17" s="507">
        <f>F.G.P.INCREMENTO!J20</f>
        <v>2928004.9531459035</v>
      </c>
      <c r="K17" s="507">
        <f>F.G.P.INCREMENTO!K20</f>
        <v>2331171.8241343088</v>
      </c>
      <c r="L17" s="507">
        <f>F.G.P.INCREMENTO!L20</f>
        <v>1360860.9020517019</v>
      </c>
      <c r="M17" s="507">
        <f>F.G.P.INCREMENTO!M20</f>
        <v>2437718.133987898</v>
      </c>
      <c r="N17" s="507">
        <f>F.G.P.INCREMENTO!N20</f>
        <v>2333555.694657099</v>
      </c>
      <c r="O17" s="508">
        <f t="shared" si="0"/>
        <v>32008151.25353891</v>
      </c>
      <c r="P17" s="509"/>
      <c r="Q17" s="509"/>
    </row>
    <row r="18" spans="1:20" x14ac:dyDescent="0.2">
      <c r="A18" s="505" t="s">
        <v>262</v>
      </c>
      <c r="B18" s="525"/>
      <c r="C18" s="507">
        <f>F.G.P.INCREMENTO!C21</f>
        <v>2488287.1781129087</v>
      </c>
      <c r="D18" s="507">
        <f>F.G.P.INCREMENTO!D21</f>
        <v>3803603.3650812125</v>
      </c>
      <c r="E18" s="507">
        <f>F.G.P.INCREMENTO!E21</f>
        <v>2588374.3519772748</v>
      </c>
      <c r="F18" s="507">
        <f>F.G.P.INCREMENTO!F21</f>
        <v>4525655.4884877829</v>
      </c>
      <c r="G18" s="507">
        <f>F.G.P.INCREMENTO!G21</f>
        <v>3759222.1153251436</v>
      </c>
      <c r="H18" s="507">
        <f>F.G.P.INCREMENTO!H21</f>
        <v>3982748.3983931565</v>
      </c>
      <c r="I18" s="507">
        <f>F.G.P.INCREMENTO!I21</f>
        <v>2763185.7247613547</v>
      </c>
      <c r="J18" s="507">
        <f>F.G.P.INCREMENTO!J21</f>
        <v>3395852.6936575966</v>
      </c>
      <c r="K18" s="507">
        <f>F.G.P.INCREMENTO!K21</f>
        <v>2703655.3028572397</v>
      </c>
      <c r="L18" s="507">
        <f>F.G.P.INCREMENTO!L21</f>
        <v>1578304.4202027</v>
      </c>
      <c r="M18" s="507">
        <f>F.G.P.INCREMENTO!M21</f>
        <v>2827225.9863449321</v>
      </c>
      <c r="N18" s="507">
        <f>F.G.P.INCREMENTO!N21</f>
        <v>2706420.0772567671</v>
      </c>
      <c r="O18" s="508">
        <f t="shared" si="0"/>
        <v>37122535.102458067</v>
      </c>
      <c r="P18" s="509"/>
      <c r="Q18" s="509"/>
    </row>
    <row r="19" spans="1:20" x14ac:dyDescent="0.2">
      <c r="A19" s="505" t="s">
        <v>263</v>
      </c>
      <c r="B19" s="525"/>
      <c r="C19" s="507">
        <f>F.G.P.INCREMENTO!C22</f>
        <v>5784275.7860981235</v>
      </c>
      <c r="D19" s="507">
        <f>F.G.P.INCREMENTO!D22</f>
        <v>8841861.5978425778</v>
      </c>
      <c r="E19" s="507">
        <f>F.G.P.INCREMENTO!E22</f>
        <v>6016938.5676994417</v>
      </c>
      <c r="F19" s="507">
        <f>F.G.P.INCREMENTO!F22</f>
        <v>10520344.953967417</v>
      </c>
      <c r="G19" s="507">
        <f>F.G.P.INCREMENTO!G22</f>
        <v>8738692.8838055208</v>
      </c>
      <c r="H19" s="507">
        <f>F.G.P.INCREMENTO!H22</f>
        <v>9258302.3879172504</v>
      </c>
      <c r="I19" s="507">
        <f>F.G.P.INCREMENTO!I22</f>
        <v>6423305.3245688714</v>
      </c>
      <c r="J19" s="507">
        <f>F.G.P.INCREMENTO!J22</f>
        <v>7894003.8279570416</v>
      </c>
      <c r="K19" s="507">
        <f>F.G.P.INCREMENTO!K22</f>
        <v>6284920.8241844261</v>
      </c>
      <c r="L19" s="507">
        <f>F.G.P.INCREMENTO!L22</f>
        <v>3668928.6193218739</v>
      </c>
      <c r="M19" s="507">
        <f>F.G.P.INCREMENTO!M22</f>
        <v>6572173.4044559384</v>
      </c>
      <c r="N19" s="507">
        <f>F.G.P.INCREMENTO!N22</f>
        <v>6291347.8225445338</v>
      </c>
      <c r="O19" s="508">
        <f t="shared" si="0"/>
        <v>86295096.000363007</v>
      </c>
      <c r="P19" s="509"/>
      <c r="Q19" s="509"/>
    </row>
    <row r="20" spans="1:20" x14ac:dyDescent="0.2">
      <c r="A20" s="505" t="s">
        <v>156</v>
      </c>
      <c r="B20" s="525"/>
      <c r="C20" s="507">
        <f>F.G.P.INCREMENTO!C23</f>
        <v>2858528.9431883097</v>
      </c>
      <c r="D20" s="507">
        <f>F.G.P.INCREMENTO!D23</f>
        <v>4369556.0557197612</v>
      </c>
      <c r="E20" s="507">
        <f>F.G.P.INCREMENTO!E23</f>
        <v>2973508.470410801</v>
      </c>
      <c r="F20" s="507">
        <f>F.G.P.INCREMENTO!F23</f>
        <v>5199045.0758792348</v>
      </c>
      <c r="G20" s="507">
        <f>F.G.P.INCREMENTO!G23</f>
        <v>4318571.1500872821</v>
      </c>
      <c r="H20" s="507">
        <f>F.G.P.INCREMENTO!H23</f>
        <v>4575356.7636344275</v>
      </c>
      <c r="I20" s="507">
        <f>F.G.P.INCREMENTO!I23</f>
        <v>3174330.6958746416</v>
      </c>
      <c r="J20" s="507">
        <f>F.G.P.INCREMENTO!J23</f>
        <v>3901134.6025525965</v>
      </c>
      <c r="K20" s="507">
        <f>F.G.P.INCREMENTO!K23</f>
        <v>3105942.5148359169</v>
      </c>
      <c r="L20" s="507">
        <f>F.G.P.INCREMENTO!L23</f>
        <v>1813146.3707227854</v>
      </c>
      <c r="M20" s="507">
        <f>F.G.P.INCREMENTO!M23</f>
        <v>3247899.7528855121</v>
      </c>
      <c r="N20" s="507">
        <f>F.G.P.INCREMENTO!N23</f>
        <v>3109118.6705915518</v>
      </c>
      <c r="O20" s="508">
        <f t="shared" si="0"/>
        <v>42646139.066382825</v>
      </c>
      <c r="P20" s="509"/>
      <c r="Q20" s="509"/>
    </row>
    <row r="21" spans="1:20" x14ac:dyDescent="0.2">
      <c r="A21" s="505" t="s">
        <v>157</v>
      </c>
      <c r="B21" s="525"/>
      <c r="C21" s="507">
        <f>F.G.P.INCREMENTO!C24</f>
        <v>18222979.359121606</v>
      </c>
      <c r="D21" s="507">
        <f>F.G.P.INCREMENTO!D24</f>
        <v>27855701.794326916</v>
      </c>
      <c r="E21" s="507">
        <f>F.G.P.INCREMENTO!E24</f>
        <v>18955968.107159268</v>
      </c>
      <c r="F21" s="507">
        <f>F.G.P.INCREMENTO!F24</f>
        <v>33143652.902537309</v>
      </c>
      <c r="G21" s="507">
        <f>F.G.P.INCREMENTO!G24</f>
        <v>27530675.56530048</v>
      </c>
      <c r="H21" s="507">
        <f>F.G.P.INCREMENTO!H24</f>
        <v>29167671.036883764</v>
      </c>
      <c r="I21" s="507">
        <f>F.G.P.INCREMENTO!I24</f>
        <v>20236199.772541203</v>
      </c>
      <c r="J21" s="507">
        <f>F.G.P.INCREMENTO!J24</f>
        <v>24869538.406764999</v>
      </c>
      <c r="K21" s="507">
        <f>F.G.P.INCREMENTO!K24</f>
        <v>19800228.531303205</v>
      </c>
      <c r="L21" s="507">
        <f>F.G.P.INCREMENTO!L24</f>
        <v>11558717.62903852</v>
      </c>
      <c r="M21" s="507">
        <f>F.G.P.INCREMENTO!M24</f>
        <v>20705198.83955216</v>
      </c>
      <c r="N21" s="507">
        <f>F.G.P.INCREMENTO!N24</f>
        <v>19820476.365740635</v>
      </c>
      <c r="O21" s="508">
        <f t="shared" si="0"/>
        <v>271867008.31027001</v>
      </c>
      <c r="P21" s="509"/>
      <c r="Q21" s="509"/>
      <c r="T21" s="509"/>
    </row>
    <row r="22" spans="1:20" x14ac:dyDescent="0.2">
      <c r="A22" s="505" t="s">
        <v>158</v>
      </c>
      <c r="B22" s="525"/>
      <c r="C22" s="507">
        <f>F.G.P.INCREMENTO!C25</f>
        <v>3022130.0921007516</v>
      </c>
      <c r="D22" s="507">
        <f>F.G.P.INCREMENTO!D25</f>
        <v>4619637.2706245622</v>
      </c>
      <c r="E22" s="507">
        <f>F.G.P.INCREMENTO!E25</f>
        <v>3143690.2008492178</v>
      </c>
      <c r="F22" s="507">
        <f>F.G.P.INCREMENTO!F25</f>
        <v>5496600.1346405838</v>
      </c>
      <c r="G22" s="507">
        <f>F.G.P.INCREMENTO!G25</f>
        <v>4565734.3644035142</v>
      </c>
      <c r="H22" s="507">
        <f>F.G.P.INCREMENTO!H25</f>
        <v>4837216.4957174668</v>
      </c>
      <c r="I22" s="507">
        <f>F.G.P.INCREMENTO!I25</f>
        <v>3356006.0118131554</v>
      </c>
      <c r="J22" s="507">
        <f>F.G.P.INCREMENTO!J25</f>
        <v>4124406.8225385253</v>
      </c>
      <c r="K22" s="507">
        <f>F.G.P.INCREMENTO!K25</f>
        <v>3283703.794844646</v>
      </c>
      <c r="L22" s="507">
        <f>F.G.P.INCREMENTO!L25</f>
        <v>1916917.5185026699</v>
      </c>
      <c r="M22" s="507">
        <f>F.G.P.INCREMENTO!M25</f>
        <v>3433785.6199468561</v>
      </c>
      <c r="N22" s="507">
        <f>F.G.P.INCREMENTO!N25</f>
        <v>3287061.7303692019</v>
      </c>
      <c r="O22" s="508">
        <f t="shared" si="0"/>
        <v>45086890.056351148</v>
      </c>
      <c r="P22" s="509"/>
      <c r="Q22" s="509"/>
      <c r="T22" s="509"/>
    </row>
    <row r="23" spans="1:20" ht="13.5" thickBot="1" x14ac:dyDescent="0.25">
      <c r="A23" s="505" t="s">
        <v>159</v>
      </c>
      <c r="B23" s="525"/>
      <c r="C23" s="507">
        <f>F.G.P.INCREMENTO!C26</f>
        <v>4150606.1807723087</v>
      </c>
      <c r="D23" s="507">
        <f>F.G.P.INCREMENTO!D26</f>
        <v>6344629.2595074689</v>
      </c>
      <c r="E23" s="507">
        <f>F.G.P.INCREMENTO!E26</f>
        <v>4317557.3454576172</v>
      </c>
      <c r="F23" s="507">
        <f>F.G.P.INCREMENTO!F26</f>
        <v>7549053.7458016668</v>
      </c>
      <c r="G23" s="507">
        <f>F.G.P.INCREMENTO!G26</f>
        <v>6270598.781366419</v>
      </c>
      <c r="H23" s="507">
        <f>F.G.P.INCREMENTO!H26</f>
        <v>6643453.4824748207</v>
      </c>
      <c r="I23" s="507">
        <f>F.G.P.INCREMENTO!I26</f>
        <v>4609152.7733202325</v>
      </c>
      <c r="J23" s="507">
        <f>F.G.P.INCREMENTO!J26</f>
        <v>5664477.6789698759</v>
      </c>
      <c r="K23" s="507">
        <f>F.G.P.INCREMENTO!K26</f>
        <v>4509852.6044038013</v>
      </c>
      <c r="L23" s="507">
        <f>F.G.P.INCREMENTO!L26</f>
        <v>2632702.583229051</v>
      </c>
      <c r="M23" s="507">
        <f>F.G.P.INCREMENTO!M26</f>
        <v>4715975.6143030236</v>
      </c>
      <c r="N23" s="507">
        <f>F.G.P.INCREMENTO!N26</f>
        <v>4514464.4071780387</v>
      </c>
      <c r="O23" s="508">
        <f t="shared" si="0"/>
        <v>61922524.456784323</v>
      </c>
      <c r="P23" s="509"/>
      <c r="Q23" s="509"/>
      <c r="T23" s="509"/>
    </row>
    <row r="24" spans="1:20" ht="13.5" thickBot="1" x14ac:dyDescent="0.25">
      <c r="A24" s="510" t="s">
        <v>264</v>
      </c>
      <c r="B24" s="526">
        <f>SUM(B4:B23)</f>
        <v>0</v>
      </c>
      <c r="C24" s="512">
        <f>SUM(C4:C23)</f>
        <v>82264716.829809725</v>
      </c>
      <c r="D24" s="512">
        <f t="shared" ref="D24:N24" si="1">SUM(D4:D23)</f>
        <v>125750096.89943396</v>
      </c>
      <c r="E24" s="512">
        <f t="shared" si="1"/>
        <v>85573676.940471992</v>
      </c>
      <c r="F24" s="512">
        <f t="shared" si="1"/>
        <v>149621703.83889189</v>
      </c>
      <c r="G24" s="512">
        <f t="shared" si="1"/>
        <v>124282818.13199483</v>
      </c>
      <c r="H24" s="512">
        <f t="shared" si="1"/>
        <v>131672771.56757675</v>
      </c>
      <c r="I24" s="512">
        <f t="shared" si="1"/>
        <v>91353077.408073515</v>
      </c>
      <c r="J24" s="512">
        <f t="shared" si="1"/>
        <v>112269541.35227738</v>
      </c>
      <c r="K24" s="512">
        <f t="shared" si="1"/>
        <v>89384955.18175754</v>
      </c>
      <c r="L24" s="512">
        <f t="shared" si="1"/>
        <v>52179976.387484543</v>
      </c>
      <c r="M24" s="512">
        <f t="shared" si="1"/>
        <v>93470298.455233902</v>
      </c>
      <c r="N24" s="512">
        <f t="shared" si="1"/>
        <v>89476360.781993732</v>
      </c>
      <c r="O24" s="512">
        <f>SUM(C24:N24)</f>
        <v>1227299993.7749999</v>
      </c>
      <c r="P24" s="509"/>
      <c r="Q24" s="509"/>
      <c r="T24" s="509"/>
    </row>
    <row r="25" spans="1:20" x14ac:dyDescent="0.2">
      <c r="A25" s="513"/>
      <c r="B25" s="513"/>
      <c r="C25" s="513"/>
      <c r="D25" s="513"/>
      <c r="E25" s="513"/>
      <c r="F25" s="513"/>
      <c r="G25" s="513"/>
      <c r="H25" s="513"/>
      <c r="I25" s="513"/>
      <c r="J25" s="513"/>
      <c r="K25" s="513"/>
      <c r="L25" s="513"/>
      <c r="M25" s="513"/>
      <c r="N25" s="513"/>
      <c r="O25" s="513"/>
      <c r="T25" s="509"/>
    </row>
    <row r="26" spans="1:20" x14ac:dyDescent="0.2">
      <c r="A26" s="514" t="s">
        <v>265</v>
      </c>
    </row>
  </sheetData>
  <mergeCells count="1">
    <mergeCell ref="A1:O1"/>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5" tint="0.59999389629810485"/>
  </sheetPr>
  <dimension ref="A1:O29"/>
  <sheetViews>
    <sheetView workbookViewId="0">
      <selection activeCell="D4" sqref="D4"/>
    </sheetView>
  </sheetViews>
  <sheetFormatPr baseColWidth="10" defaultRowHeight="12.75" x14ac:dyDescent="0.2"/>
  <cols>
    <col min="1" max="1" width="16" style="500" customWidth="1"/>
    <col min="2" max="2" width="9.28515625" style="500" hidden="1" customWidth="1"/>
    <col min="3" max="10" width="8.7109375" style="500" bestFit="1" customWidth="1"/>
    <col min="11" max="11" width="9.7109375" style="500" bestFit="1" customWidth="1"/>
    <col min="12" max="12" width="8.7109375" style="500" bestFit="1" customWidth="1"/>
    <col min="13" max="13" width="9.42578125" style="500" bestFit="1" customWidth="1"/>
    <col min="14" max="14" width="8.7109375" style="500" bestFit="1" customWidth="1"/>
    <col min="15" max="15" width="13.7109375" style="500" bestFit="1" customWidth="1"/>
    <col min="16" max="16384" width="11.42578125" style="500"/>
  </cols>
  <sheetData>
    <row r="1" spans="1:15" x14ac:dyDescent="0.2">
      <c r="A1" s="1193" t="s">
        <v>321</v>
      </c>
      <c r="B1" s="1193"/>
      <c r="C1" s="1193"/>
      <c r="D1" s="1193"/>
      <c r="E1" s="1193"/>
      <c r="F1" s="1193"/>
      <c r="G1" s="1193"/>
      <c r="H1" s="1193"/>
      <c r="I1" s="1193"/>
      <c r="J1" s="1193"/>
      <c r="K1" s="1193"/>
      <c r="L1" s="1193"/>
      <c r="M1" s="1193"/>
      <c r="N1" s="1193"/>
      <c r="O1" s="1193"/>
    </row>
    <row r="2" spans="1:15" ht="13.5" thickBot="1" x14ac:dyDescent="0.25"/>
    <row r="3" spans="1:15" ht="23.25" thickBot="1" x14ac:dyDescent="0.25">
      <c r="A3" s="501" t="s">
        <v>286</v>
      </c>
      <c r="B3" s="502" t="s">
        <v>257</v>
      </c>
      <c r="C3" s="501" t="s">
        <v>1</v>
      </c>
      <c r="D3" s="503" t="s">
        <v>2</v>
      </c>
      <c r="E3" s="501" t="s">
        <v>3</v>
      </c>
      <c r="F3" s="503" t="s">
        <v>4</v>
      </c>
      <c r="G3" s="501" t="s">
        <v>5</v>
      </c>
      <c r="H3" s="501" t="s">
        <v>6</v>
      </c>
      <c r="I3" s="501" t="s">
        <v>7</v>
      </c>
      <c r="J3" s="503" t="s">
        <v>8</v>
      </c>
      <c r="K3" s="501" t="s">
        <v>9</v>
      </c>
      <c r="L3" s="503" t="s">
        <v>10</v>
      </c>
      <c r="M3" s="501" t="s">
        <v>11</v>
      </c>
      <c r="N3" s="501" t="s">
        <v>12</v>
      </c>
      <c r="O3" s="504" t="s">
        <v>160</v>
      </c>
    </row>
    <row r="4" spans="1:15" ht="12.75" customHeight="1" x14ac:dyDescent="0.2">
      <c r="A4" s="505" t="s">
        <v>258</v>
      </c>
      <c r="B4" s="525"/>
      <c r="C4" s="507">
        <f>'F.F.M30%'!C7+'F.F.M.70%'!C7+'F.F.M.ESTIIMACIONES 2014'!C7</f>
        <v>1489968.0817034317</v>
      </c>
      <c r="D4" s="507">
        <f>'F.F.M30%'!D7+'F.F.M.70%'!D7+'F.F.M.ESTIIMACIONES 2014'!D7</f>
        <v>1865947.1048503153</v>
      </c>
      <c r="E4" s="507">
        <f>'F.F.M30%'!E7+'F.F.M.70%'!E7+'F.F.M.ESTIIMACIONES 2014'!E7</f>
        <v>1477691.1452908036</v>
      </c>
      <c r="F4" s="507">
        <f>'F.F.M30%'!F7+'F.F.M.70%'!F7+'F.F.M.ESTIIMACIONES 2014'!F7</f>
        <v>1877669.7064515213</v>
      </c>
      <c r="G4" s="507">
        <f>'F.F.M30%'!G7+'F.F.M.70%'!G7+'F.F.M.ESTIIMACIONES 2014'!G7</f>
        <v>1578163.8852906879</v>
      </c>
      <c r="H4" s="507">
        <f>'F.F.M30%'!H7+'F.F.M.70%'!H7+'F.F.M.ESTIIMACIONES 2014'!H7</f>
        <v>1647884.779940587</v>
      </c>
      <c r="I4" s="507">
        <f>'F.F.M30%'!I7+'F.F.M.70%'!I7+'F.F.M.ESTIIMACIONES 2014'!I7</f>
        <v>1632900.2644057991</v>
      </c>
      <c r="J4" s="507">
        <f>'F.F.M30%'!J7+'F.F.M.70%'!J7+'F.F.M.ESTIIMACIONES 2014'!J7</f>
        <v>1555321.303096826</v>
      </c>
      <c r="K4" s="507">
        <f>'F.F.M30%'!K7+'F.F.M.70%'!K7+'F.F.M.ESTIIMACIONES 2014'!K7</f>
        <v>1574197.7725631227</v>
      </c>
      <c r="L4" s="507">
        <f>'F.F.M30%'!L7+'F.F.M.70%'!L7+'F.F.M.ESTIIMACIONES 2014'!L7</f>
        <v>1460556.209259843</v>
      </c>
      <c r="M4" s="507">
        <f>'F.F.M30%'!M7+'F.F.M.70%'!M7+'F.F.M.ESTIIMACIONES 2014'!M7</f>
        <v>1470822.8306757915</v>
      </c>
      <c r="N4" s="507">
        <f>'F.F.M30%'!N7+'F.F.M.70%'!N7+'F.F.M.ESTIIMACIONES 2014'!N7</f>
        <v>1580884.6684461029</v>
      </c>
      <c r="O4" s="508">
        <f t="shared" ref="O4:O24" si="0">SUM(C4:N4)</f>
        <v>19212007.751974829</v>
      </c>
    </row>
    <row r="5" spans="1:15" ht="12.75" customHeight="1" x14ac:dyDescent="0.2">
      <c r="A5" s="505" t="s">
        <v>141</v>
      </c>
      <c r="B5" s="525"/>
      <c r="C5" s="507">
        <f>'F.F.M30%'!C8+'F.F.M.70%'!C8+'F.F.M.ESTIIMACIONES 2014'!C8</f>
        <v>975062.85834395548</v>
      </c>
      <c r="D5" s="507">
        <f>'F.F.M30%'!D8+'F.F.M.70%'!D8+'F.F.M.ESTIIMACIONES 2014'!D8</f>
        <v>1196154.3952214224</v>
      </c>
      <c r="E5" s="507">
        <f>'F.F.M30%'!E8+'F.F.M.70%'!E8+'F.F.M.ESTIIMACIONES 2014'!E8</f>
        <v>962930.39709888911</v>
      </c>
      <c r="F5" s="507">
        <f>'F.F.M30%'!F8+'F.F.M.70%'!F8+'F.F.M.ESTIIMACIONES 2014'!F8</f>
        <v>1181636.6559256606</v>
      </c>
      <c r="G5" s="507">
        <f>'F.F.M30%'!G8+'F.F.M.70%'!G8+'F.F.M.ESTIIMACIONES 2014'!G8</f>
        <v>994627.51861738251</v>
      </c>
      <c r="H5" s="507">
        <f>'F.F.M30%'!H8+'F.F.M.70%'!H8+'F.F.M.ESTIIMACIONES 2014'!H8</f>
        <v>1044868.3237082101</v>
      </c>
      <c r="I5" s="507">
        <f>'F.F.M30%'!I8+'F.F.M.70%'!I8+'F.F.M.ESTIIMACIONES 2014'!I8</f>
        <v>1067406.5576489051</v>
      </c>
      <c r="J5" s="507">
        <f>'F.F.M30%'!J8+'F.F.M.70%'!J8+'F.F.M.ESTIIMACIONES 2014'!J8</f>
        <v>990733.49056212872</v>
      </c>
      <c r="K5" s="507">
        <f>'F.F.M30%'!K8+'F.F.M.70%'!K8+'F.F.M.ESTIIMACIONES 2014'!K8</f>
        <v>1027672.711610388</v>
      </c>
      <c r="L5" s="507">
        <f>'F.F.M30%'!L8+'F.F.M.70%'!L8+'F.F.M.ESTIIMACIONES 2014'!L8</f>
        <v>972291.31638611166</v>
      </c>
      <c r="M5" s="507">
        <f>'F.F.M30%'!M8+'F.F.M.70%'!M8+'F.F.M.ESTIIMACIONES 2014'!M8</f>
        <v>949943.24281212583</v>
      </c>
      <c r="N5" s="507">
        <f>'F.F.M30%'!N8+'F.F.M.70%'!N8+'F.F.M.ESTIIMACIONES 2014'!N8</f>
        <v>1032335.2856598451</v>
      </c>
      <c r="O5" s="508">
        <f t="shared" si="0"/>
        <v>12395662.753595022</v>
      </c>
    </row>
    <row r="6" spans="1:15" ht="12.75" customHeight="1" x14ac:dyDescent="0.2">
      <c r="A6" s="505" t="s">
        <v>142</v>
      </c>
      <c r="B6" s="525"/>
      <c r="C6" s="507">
        <f>'F.F.M30%'!C9+'F.F.M.70%'!C9+'F.F.M.ESTIIMACIONES 2014'!C9</f>
        <v>889304.64827919414</v>
      </c>
      <c r="D6" s="507">
        <f>'F.F.M30%'!D9+'F.F.M.70%'!D9+'F.F.M.ESTIIMACIONES 2014'!D9</f>
        <v>1071866.428074725</v>
      </c>
      <c r="E6" s="507">
        <f>'F.F.M30%'!E9+'F.F.M.70%'!E9+'F.F.M.ESTIIMACIONES 2014'!E9</f>
        <v>875105.27933325665</v>
      </c>
      <c r="F6" s="507">
        <f>'F.F.M30%'!F9+'F.F.M.70%'!F9+'F.F.M.ESTIIMACIONES 2014'!F9</f>
        <v>1041657.0214163746</v>
      </c>
      <c r="G6" s="507">
        <f>'F.F.M30%'!G9+'F.F.M.70%'!G9+'F.F.M.ESTIIMACIONES 2014'!G9</f>
        <v>877972.76784201839</v>
      </c>
      <c r="H6" s="507">
        <f>'F.F.M30%'!H9+'F.F.M.70%'!H9+'F.F.M.ESTIIMACIONES 2014'!H9</f>
        <v>927323.3509697048</v>
      </c>
      <c r="I6" s="507">
        <f>'F.F.M30%'!I9+'F.F.M.70%'!I9+'F.F.M.ESTIIMACIONES 2014'!I9</f>
        <v>972613.67536288954</v>
      </c>
      <c r="J6" s="507">
        <f>'F.F.M30%'!J9+'F.F.M.70%'!J9+'F.F.M.ESTIIMACIONES 2014'!J9</f>
        <v>882874.87477732217</v>
      </c>
      <c r="K6" s="507">
        <f>'F.F.M30%'!K9+'F.F.M.70%'!K9+'F.F.M.ESTIIMACIONES 2014'!K9</f>
        <v>935366.70045223436</v>
      </c>
      <c r="L6" s="507">
        <f>'F.F.M30%'!L9+'F.F.M.70%'!L9+'F.F.M.ESTIIMACIONES 2014'!L9</f>
        <v>899376.4806992932</v>
      </c>
      <c r="M6" s="507">
        <f>'F.F.M30%'!M9+'F.F.M.70%'!M9+'F.F.M.ESTIIMACIONES 2014'!M9</f>
        <v>856766.06387740816</v>
      </c>
      <c r="N6" s="507">
        <f>'F.F.M30%'!N9+'F.F.M.70%'!N9+'F.F.M.ESTIIMACIONES 2014'!N9</f>
        <v>939838.3205628799</v>
      </c>
      <c r="O6" s="508">
        <f t="shared" si="0"/>
        <v>11170065.6116473</v>
      </c>
    </row>
    <row r="7" spans="1:15" ht="12.75" customHeight="1" x14ac:dyDescent="0.2">
      <c r="A7" s="505" t="s">
        <v>259</v>
      </c>
      <c r="B7" s="525"/>
      <c r="C7" s="507">
        <f>'F.F.M30%'!C10+'F.F.M.70%'!C10+'F.F.M.ESTIIMACIONES 2014'!C10</f>
        <v>3912256.7979492783</v>
      </c>
      <c r="D7" s="507">
        <f>'F.F.M30%'!D10+'F.F.M.70%'!D10+'F.F.M.ESTIIMACIONES 2014'!D10</f>
        <v>6553709.4214180885</v>
      </c>
      <c r="E7" s="507">
        <f>'F.F.M30%'!E10+'F.F.M.70%'!E10+'F.F.M.ESTIIMACIONES 2014'!E10</f>
        <v>4151672.8536812109</v>
      </c>
      <c r="F7" s="507">
        <f>'F.F.M30%'!F10+'F.F.M.70%'!F10+'F.F.M.ESTIIMACIONES 2014'!F10</f>
        <v>8055316.0921210675</v>
      </c>
      <c r="G7" s="507">
        <f>'F.F.M30%'!G10+'F.F.M.70%'!G10+'F.F.M.ESTIIMACIONES 2014'!G10</f>
        <v>6672784.4301279448</v>
      </c>
      <c r="H7" s="507">
        <f>'F.F.M30%'!H10+'F.F.M.70%'!H10+'F.F.M.ESTIIMACIONES 2014'!H10</f>
        <v>6550000.8973885793</v>
      </c>
      <c r="I7" s="507">
        <f>'F.F.M30%'!I10+'F.F.M.70%'!I10+'F.F.M.ESTIIMACIONES 2014'!I10</f>
        <v>4366688.9968343191</v>
      </c>
      <c r="J7" s="507">
        <f>'F.F.M30%'!J10+'F.F.M.70%'!J10+'F.F.M.ESTIIMACIONES 2014'!J10</f>
        <v>5880046.2764512356</v>
      </c>
      <c r="K7" s="507">
        <f>'F.F.M30%'!K10+'F.F.M.70%'!K10+'F.F.M.ESTIIMACIONES 2014'!K10</f>
        <v>4299905.9498049291</v>
      </c>
      <c r="L7" s="507">
        <f>'F.F.M30%'!L10+'F.F.M.70%'!L10+'F.F.M.ESTIIMACIONES 2014'!L10</f>
        <v>2742898.6325303838</v>
      </c>
      <c r="M7" s="507">
        <f>'F.F.M30%'!M10+'F.F.M.70%'!M10+'F.F.M.ESTIIMACIONES 2014'!M10</f>
        <v>4696562.4027718464</v>
      </c>
      <c r="N7" s="507">
        <f>'F.F.M30%'!N10+'F.F.M.70%'!N10+'F.F.M.ESTIIMACIONES 2014'!N10</f>
        <v>4298470.1482957937</v>
      </c>
      <c r="O7" s="508">
        <f t="shared" si="0"/>
        <v>62180312.899374679</v>
      </c>
    </row>
    <row r="8" spans="1:15" ht="12.75" customHeight="1" x14ac:dyDescent="0.2">
      <c r="A8" s="505" t="s">
        <v>144</v>
      </c>
      <c r="B8" s="525"/>
      <c r="C8" s="507">
        <f>'F.F.M30%'!C11+'F.F.M.70%'!C11+'F.F.M.ESTIIMACIONES 2014'!C11</f>
        <v>2349058.3493595403</v>
      </c>
      <c r="D8" s="507">
        <f>'F.F.M30%'!D11+'F.F.M.70%'!D11+'F.F.M.ESTIIMACIONES 2014'!D11</f>
        <v>3205510.9774835664</v>
      </c>
      <c r="E8" s="507">
        <f>'F.F.M30%'!E11+'F.F.M.70%'!E11+'F.F.M.ESTIIMACIONES 2014'!E11</f>
        <v>2373005.0267294366</v>
      </c>
      <c r="F8" s="507">
        <f>'F.F.M30%'!F11+'F.F.M.70%'!F11+'F.F.M.ESTIIMACIONES 2014'!F11</f>
        <v>3458447.5239767209</v>
      </c>
      <c r="G8" s="507">
        <f>'F.F.M30%'!G11+'F.F.M.70%'!G11+'F.F.M.ESTIIMACIONES 2014'!G11</f>
        <v>2891229.7563712825</v>
      </c>
      <c r="H8" s="507">
        <f>'F.F.M30%'!H11+'F.F.M.70%'!H11+'F.F.M.ESTIIMACIONES 2014'!H11</f>
        <v>2952396.6602523737</v>
      </c>
      <c r="I8" s="507">
        <f>'F.F.M30%'!I11+'F.F.M.70%'!I11+'F.F.M.ESTIIMACIONES 2014'!I11</f>
        <v>2587016.4955192087</v>
      </c>
      <c r="J8" s="507">
        <f>'F.F.M30%'!J11+'F.F.M.70%'!J11+'F.F.M.ESTIIMACIONES 2014'!J11</f>
        <v>2738412.0567867076</v>
      </c>
      <c r="K8" s="507">
        <f>'F.F.M30%'!K11+'F.F.M.70%'!K11+'F.F.M.ESTIIMACIONES 2014'!K11</f>
        <v>2508391.6742277136</v>
      </c>
      <c r="L8" s="507">
        <f>'F.F.M30%'!L11+'F.F.M.70%'!L11+'F.F.M.ESTIIMACIONES 2014'!L11</f>
        <v>2128598.6431761766</v>
      </c>
      <c r="M8" s="507">
        <f>'F.F.M30%'!M11+'F.F.M.70%'!M11+'F.F.M.ESTIIMACIONES 2014'!M11</f>
        <v>2451908.6135190018</v>
      </c>
      <c r="N8" s="507">
        <f>'F.F.M30%'!N11+'F.F.M.70%'!N11+'F.F.M.ESTIIMACIONES 2014'!N11</f>
        <v>2515906.4422834003</v>
      </c>
      <c r="O8" s="508">
        <f t="shared" si="0"/>
        <v>32159882.21968513</v>
      </c>
    </row>
    <row r="9" spans="1:15" ht="12.75" customHeight="1" x14ac:dyDescent="0.2">
      <c r="A9" s="505" t="s">
        <v>260</v>
      </c>
      <c r="B9" s="525"/>
      <c r="C9" s="507">
        <f>'F.F.M30%'!C12+'F.F.M.70%'!C12+'F.F.M.ESTIIMACIONES 2014'!C12</f>
        <v>750762.30940593116</v>
      </c>
      <c r="D9" s="507">
        <f>'F.F.M30%'!D12+'F.F.M.70%'!D12+'F.F.M.ESTIIMACIONES 2014'!D12</f>
        <v>1020273.1662545594</v>
      </c>
      <c r="E9" s="507">
        <f>'F.F.M30%'!E12+'F.F.M.70%'!E12+'F.F.M.ESTIIMACIONES 2014'!E12</f>
        <v>757723.92430484365</v>
      </c>
      <c r="F9" s="507">
        <f>'F.F.M30%'!F12+'F.F.M.70%'!F12+'F.F.M.ESTIIMACIONES 2014'!F12</f>
        <v>1097366.4994428842</v>
      </c>
      <c r="G9" s="507">
        <f>'F.F.M30%'!G12+'F.F.M.70%'!G12+'F.F.M.ESTIIMACIONES 2014'!G12</f>
        <v>917600.93881856278</v>
      </c>
      <c r="H9" s="507">
        <f>'F.F.M30%'!H12+'F.F.M.70%'!H12+'F.F.M.ESTIIMACIONES 2014'!H12</f>
        <v>937928.83456128207</v>
      </c>
      <c r="I9" s="507">
        <f>'F.F.M30%'!I12+'F.F.M.70%'!I12+'F.F.M.ESTIIMACIONES 2014'!I12</f>
        <v>826612.55292127107</v>
      </c>
      <c r="J9" s="507">
        <f>'F.F.M30%'!J12+'F.F.M.70%'!J12+'F.F.M.ESTIIMACIONES 2014'!J12</f>
        <v>870626.20177232858</v>
      </c>
      <c r="K9" s="507">
        <f>'F.F.M30%'!K12+'F.F.M.70%'!K12+'F.F.M.ESTIIMACIONES 2014'!K12</f>
        <v>801261.49932808836</v>
      </c>
      <c r="L9" s="507">
        <f>'F.F.M30%'!L12+'F.F.M.70%'!L12+'F.F.M.ESTIIMACIONES 2014'!L12</f>
        <v>683084.25026661623</v>
      </c>
      <c r="M9" s="507">
        <f>'F.F.M30%'!M12+'F.F.M.70%'!M12+'F.F.M.ESTIIMACIONES 2014'!M12</f>
        <v>781508.10417720862</v>
      </c>
      <c r="N9" s="507">
        <f>'F.F.M30%'!N12+'F.F.M.70%'!N12+'F.F.M.ESTIIMACIONES 2014'!N12</f>
        <v>803711.59835820249</v>
      </c>
      <c r="O9" s="508">
        <f t="shared" si="0"/>
        <v>10248459.879611777</v>
      </c>
    </row>
    <row r="10" spans="1:15" ht="12.75" customHeight="1" x14ac:dyDescent="0.2">
      <c r="A10" s="505" t="s">
        <v>146</v>
      </c>
      <c r="B10" s="525"/>
      <c r="C10" s="507">
        <f>'F.F.M30%'!C13+'F.F.M.70%'!C13+'F.F.M.ESTIIMACIONES 2014'!C13</f>
        <v>596071.37522853585</v>
      </c>
      <c r="D10" s="507">
        <f>'F.F.M30%'!D13+'F.F.M.70%'!D13+'F.F.M.ESTIIMACIONES 2014'!D13</f>
        <v>726274.23008842417</v>
      </c>
      <c r="E10" s="507">
        <f>'F.F.M30%'!E13+'F.F.M.70%'!E13+'F.F.M.ESTIIMACIONES 2014'!E13</f>
        <v>587841.09732332209</v>
      </c>
      <c r="F10" s="507">
        <f>'F.F.M30%'!F13+'F.F.M.70%'!F13+'F.F.M.ESTIIMACIONES 2014'!F13</f>
        <v>712994.64502077596</v>
      </c>
      <c r="G10" s="507">
        <f>'F.F.M30%'!G13+'F.F.M.70%'!G13+'F.F.M.ESTIIMACIONES 2014'!G13</f>
        <v>600458.15672752878</v>
      </c>
      <c r="H10" s="507">
        <f>'F.F.M30%'!H13+'F.F.M.70%'!H13+'F.F.M.ESTIIMACIONES 2014'!H13</f>
        <v>632087.08701455721</v>
      </c>
      <c r="I10" s="507">
        <f>'F.F.M30%'!I13+'F.F.M.70%'!I13+'F.F.M.ESTIIMACIONES 2014'!I13</f>
        <v>652285.5706020575</v>
      </c>
      <c r="J10" s="507">
        <f>'F.F.M30%'!J13+'F.F.M.70%'!J13+'F.F.M.ESTIIMACIONES 2014'!J13</f>
        <v>600272.05985661224</v>
      </c>
      <c r="K10" s="507">
        <f>'F.F.M30%'!K13+'F.F.M.70%'!K13+'F.F.M.ESTIIMACIONES 2014'!K13</f>
        <v>627734.04335610813</v>
      </c>
      <c r="L10" s="507">
        <f>'F.F.M30%'!L13+'F.F.M.70%'!L13+'F.F.M.ESTIIMACIONES 2014'!L13</f>
        <v>597647.67420516734</v>
      </c>
      <c r="M10" s="507">
        <f>'F.F.M30%'!M13+'F.F.M.70%'!M13+'F.F.M.ESTIIMACIONES 2014'!M13</f>
        <v>578216.06448967475</v>
      </c>
      <c r="N10" s="507">
        <f>'F.F.M30%'!N13+'F.F.M.70%'!N13+'F.F.M.ESTIIMACIONES 2014'!N13</f>
        <v>630641.2291878938</v>
      </c>
      <c r="O10" s="508">
        <f t="shared" si="0"/>
        <v>7542523.2331006574</v>
      </c>
    </row>
    <row r="11" spans="1:15" ht="12.75" customHeight="1" x14ac:dyDescent="0.2">
      <c r="A11" s="505" t="s">
        <v>147</v>
      </c>
      <c r="B11" s="525"/>
      <c r="C11" s="507">
        <f>'F.F.M30%'!C14+'F.F.M.70%'!C14+'F.F.M.ESTIIMACIONES 2014'!C14</f>
        <v>1313311.0180194078</v>
      </c>
      <c r="D11" s="507">
        <f>'F.F.M30%'!D14+'F.F.M.70%'!D14+'F.F.M.ESTIIMACIONES 2014'!D14</f>
        <v>1652321.6736350353</v>
      </c>
      <c r="E11" s="507">
        <f>'F.F.M30%'!E14+'F.F.M.70%'!E14+'F.F.M.ESTIIMACIONES 2014'!E14</f>
        <v>1303739.2650306202</v>
      </c>
      <c r="F11" s="507">
        <f>'F.F.M30%'!F14+'F.F.M.70%'!F14+'F.F.M.ESTIIMACIONES 2014'!F14</f>
        <v>1669420.07191362</v>
      </c>
      <c r="G11" s="507">
        <f>'F.F.M30%'!G14+'F.F.M.70%'!G14+'F.F.M.ESTIIMACIONES 2014'!G14</f>
        <v>1402682.9019539568</v>
      </c>
      <c r="H11" s="507">
        <f>'F.F.M30%'!H14+'F.F.M.70%'!H14+'F.F.M.ESTIIMACIONES 2014'!H14</f>
        <v>1462730.4921282062</v>
      </c>
      <c r="I11" s="507">
        <f>'F.F.M30%'!I14+'F.F.M.70%'!I14+'F.F.M.ESTIIMACIONES 2014'!I14</f>
        <v>1439660.5368035838</v>
      </c>
      <c r="J11" s="507">
        <f>'F.F.M30%'!J14+'F.F.M.70%'!J14+'F.F.M.ESTIIMACIONES 2014'!J14</f>
        <v>1379178.0013952227</v>
      </c>
      <c r="K11" s="507">
        <f>'F.F.M30%'!K14+'F.F.M.70%'!K14+'F.F.M.ESTIIMACIONES 2014'!K14</f>
        <v>1388319.8874236802</v>
      </c>
      <c r="L11" s="507">
        <f>'F.F.M30%'!L14+'F.F.M.70%'!L14+'F.F.M.ESTIIMACIONES 2014'!L14</f>
        <v>1282362.6346832507</v>
      </c>
      <c r="M11" s="507">
        <f>'F.F.M30%'!M14+'F.F.M.70%'!M14+'F.F.M.ESTIIMACIONES 2014'!M14</f>
        <v>1300274.6908735135</v>
      </c>
      <c r="N11" s="507">
        <f>'F.F.M30%'!N14+'F.F.M.70%'!N14+'F.F.M.ESTIIMACIONES 2014'!N14</f>
        <v>1394126.5860957503</v>
      </c>
      <c r="O11" s="508">
        <f t="shared" si="0"/>
        <v>16988127.759955846</v>
      </c>
    </row>
    <row r="12" spans="1:15" ht="12.75" customHeight="1" x14ac:dyDescent="0.2">
      <c r="A12" s="505" t="s">
        <v>148</v>
      </c>
      <c r="B12" s="525"/>
      <c r="C12" s="507">
        <f>'F.F.M30%'!C15+'F.F.M.70%'!C15+'F.F.M.ESTIIMACIONES 2014'!C15</f>
        <v>1098794.6791018865</v>
      </c>
      <c r="D12" s="507">
        <f>'F.F.M30%'!D15+'F.F.M.70%'!D15+'F.F.M.ESTIIMACIONES 2014'!D15</f>
        <v>1341377.9314137311</v>
      </c>
      <c r="E12" s="507">
        <f>'F.F.M30%'!E15+'F.F.M.70%'!E15+'F.F.M.ESTIIMACIONES 2014'!E15</f>
        <v>1084044.7426396629</v>
      </c>
      <c r="F12" s="507">
        <f>'F.F.M30%'!F15+'F.F.M.70%'!F15+'F.F.M.ESTIIMACIONES 2014'!F15</f>
        <v>1319181.7271906389</v>
      </c>
      <c r="G12" s="507">
        <f>'F.F.M30%'!G15+'F.F.M.70%'!G15+'F.F.M.ESTIIMACIONES 2014'!G15</f>
        <v>1110807.1864134653</v>
      </c>
      <c r="H12" s="507">
        <f>'F.F.M30%'!H15+'F.F.M.70%'!H15+'F.F.M.ESTIIMACIONES 2014'!H15</f>
        <v>1168636.9774530116</v>
      </c>
      <c r="I12" s="507">
        <f>'F.F.M30%'!I15+'F.F.M.70%'!I15+'F.F.M.ESTIIMACIONES 2014'!I15</f>
        <v>1202542.4584837349</v>
      </c>
      <c r="J12" s="507">
        <f>'F.F.M30%'!J15+'F.F.M.70%'!J15+'F.F.M.ESTIIMACIONES 2014'!J15</f>
        <v>1109326.6009695085</v>
      </c>
      <c r="K12" s="507">
        <f>'F.F.M30%'!K15+'F.F.M.70%'!K15+'F.F.M.ESTIIMACIONES 2014'!K15</f>
        <v>1157419.917054022</v>
      </c>
      <c r="L12" s="507">
        <f>'F.F.M30%'!L15+'F.F.M.70%'!L15+'F.F.M.ESTIIMACIONES 2014'!L15</f>
        <v>1100004.99745747</v>
      </c>
      <c r="M12" s="507">
        <f>'F.F.M30%'!M15+'F.F.M.70%'!M15+'F.F.M.ESTIIMACIONES 2014'!M15</f>
        <v>1067175.8929169769</v>
      </c>
      <c r="N12" s="507">
        <f>'F.F.M30%'!N15+'F.F.M.70%'!N15+'F.F.M.ESTIIMACIONES 2014'!N15</f>
        <v>1162749.5213944691</v>
      </c>
      <c r="O12" s="508">
        <f t="shared" si="0"/>
        <v>13922062.632488579</v>
      </c>
    </row>
    <row r="13" spans="1:15" ht="12.75" customHeight="1" x14ac:dyDescent="0.2">
      <c r="A13" s="505" t="s">
        <v>149</v>
      </c>
      <c r="B13" s="525"/>
      <c r="C13" s="507">
        <f>'F.F.M30%'!C16+'F.F.M.70%'!C16+'F.F.M.ESTIIMACIONES 2014'!C16</f>
        <v>629098.72376418626</v>
      </c>
      <c r="D13" s="507">
        <f>'F.F.M30%'!D16+'F.F.M.70%'!D16+'F.F.M.ESTIIMACIONES 2014'!D16</f>
        <v>770166.45890176971</v>
      </c>
      <c r="E13" s="507">
        <f>'F.F.M30%'!E16+'F.F.M.70%'!E16+'F.F.M.ESTIIMACIONES 2014'!E16</f>
        <v>621011.89964575972</v>
      </c>
      <c r="F13" s="507">
        <f>'F.F.M30%'!F16+'F.F.M.70%'!F16+'F.F.M.ESTIIMACIONES 2014'!F16</f>
        <v>759396.88487461233</v>
      </c>
      <c r="G13" s="507">
        <f>'F.F.M30%'!G16+'F.F.M.70%'!G16+'F.F.M.ESTIIMACIONES 2014'!G16</f>
        <v>639309.44069092767</v>
      </c>
      <c r="H13" s="507">
        <f>'F.F.M30%'!H16+'F.F.M.70%'!H16+'F.F.M.ESTIIMACIONES 2014'!H16</f>
        <v>672015.92640369211</v>
      </c>
      <c r="I13" s="507">
        <f>'F.F.M30%'!I16+'F.F.M.70%'!I16+'F.F.M.ESTIIMACIONES 2014'!I16</f>
        <v>688602.28154113702</v>
      </c>
      <c r="J13" s="507">
        <f>'F.F.M30%'!J16+'F.F.M.70%'!J16+'F.F.M.ESTIIMACIONES 2014'!J16</f>
        <v>637495.98250776681</v>
      </c>
      <c r="K13" s="507">
        <f>'F.F.M30%'!K16+'F.F.M.70%'!K16+'F.F.M.ESTIIMACIONES 2014'!K16</f>
        <v>662883.16621657892</v>
      </c>
      <c r="L13" s="507">
        <f>'F.F.M30%'!L16+'F.F.M.70%'!L16+'F.F.M.ESTIIMACIONES 2014'!L16</f>
        <v>628352.25538006763</v>
      </c>
      <c r="M13" s="507">
        <f>'F.F.M30%'!M16+'F.F.M.70%'!M16+'F.F.M.ESTIIMACIONES 2014'!M16</f>
        <v>612095.81672475697</v>
      </c>
      <c r="N13" s="507">
        <f>'F.F.M30%'!N16+'F.F.M.70%'!N16+'F.F.M.ESTIIMACIONES 2014'!N16</f>
        <v>665909.51909363281</v>
      </c>
      <c r="O13" s="508">
        <f t="shared" si="0"/>
        <v>7986338.3557448881</v>
      </c>
    </row>
    <row r="14" spans="1:15" ht="12.75" customHeight="1" x14ac:dyDescent="0.2">
      <c r="A14" s="505" t="s">
        <v>150</v>
      </c>
      <c r="B14" s="525"/>
      <c r="C14" s="507">
        <f>'F.F.M30%'!C17+'F.F.M.70%'!C17+'F.F.M.ESTIIMACIONES 2014'!C17</f>
        <v>1896819.1217247753</v>
      </c>
      <c r="D14" s="507">
        <f>'F.F.M30%'!D17+'F.F.M.70%'!D17+'F.F.M.ESTIIMACIONES 2014'!D17</f>
        <v>2812417.2825026894</v>
      </c>
      <c r="E14" s="507">
        <f>'F.F.M30%'!E17+'F.F.M.70%'!E17+'F.F.M.ESTIIMACIONES 2014'!E17</f>
        <v>1952944.8628731554</v>
      </c>
      <c r="F14" s="507">
        <f>'F.F.M30%'!F17+'F.F.M.70%'!F17+'F.F.M.ESTIIMACIONES 2014'!F17</f>
        <v>3215849.5735238334</v>
      </c>
      <c r="G14" s="507">
        <f>'F.F.M30%'!G17+'F.F.M.70%'!G17+'F.F.M.ESTIIMACIONES 2014'!G17</f>
        <v>2677102.3258789908</v>
      </c>
      <c r="H14" s="507">
        <f>'F.F.M30%'!H17+'F.F.M.70%'!H17+'F.F.M.ESTIIMACIONES 2014'!H17</f>
        <v>2685072.530295616</v>
      </c>
      <c r="I14" s="507">
        <f>'F.F.M30%'!I17+'F.F.M.70%'!I17+'F.F.M.ESTIIMACIONES 2014'!I17</f>
        <v>2099682.2079685992</v>
      </c>
      <c r="J14" s="507">
        <f>'F.F.M30%'!J17+'F.F.M.70%'!J17+'F.F.M.ESTIIMACIONES 2014'!J17</f>
        <v>2454468.8834723793</v>
      </c>
      <c r="K14" s="507">
        <f>'F.F.M30%'!K17+'F.F.M.70%'!K17+'F.F.M.ESTIIMACIONES 2014'!K17</f>
        <v>2048024.3520806087</v>
      </c>
      <c r="L14" s="507">
        <f>'F.F.M30%'!L17+'F.F.M.70%'!L17+'F.F.M.ESTIIMACIONES 2014'!L17</f>
        <v>1570897.2299824003</v>
      </c>
      <c r="M14" s="507">
        <f>'F.F.M30%'!M17+'F.F.M.70%'!M17+'F.F.M.ESTIIMACIONES 2014'!M17</f>
        <v>2092893.5893572625</v>
      </c>
      <c r="N14" s="507">
        <f>'F.F.M30%'!N17+'F.F.M.70%'!N17+'F.F.M.ESTIIMACIONES 2014'!N17</f>
        <v>2051520.0913950796</v>
      </c>
      <c r="O14" s="508">
        <f t="shared" si="0"/>
        <v>27557692.051055394</v>
      </c>
    </row>
    <row r="15" spans="1:15" ht="12.75" customHeight="1" x14ac:dyDescent="0.2">
      <c r="A15" s="505" t="s">
        <v>151</v>
      </c>
      <c r="B15" s="525"/>
      <c r="C15" s="507">
        <f>'F.F.M30%'!C18+'F.F.M.70%'!C18+'F.F.M.ESTIIMACIONES 2014'!C18</f>
        <v>1293036.4894202584</v>
      </c>
      <c r="D15" s="507">
        <f>'F.F.M30%'!D18+'F.F.M.70%'!D18+'F.F.M.ESTIIMACIONES 2014'!D18</f>
        <v>1572756.8071782393</v>
      </c>
      <c r="E15" s="507">
        <f>'F.F.M30%'!E18+'F.F.M.70%'!E18+'F.F.M.ESTIIMACIONES 2014'!E18</f>
        <v>1274735.495084001</v>
      </c>
      <c r="F15" s="507">
        <f>'F.F.M30%'!F18+'F.F.M.70%'!F18+'F.F.M.ESTIIMACIONES 2014'!F18</f>
        <v>1541527.7830779455</v>
      </c>
      <c r="G15" s="507">
        <f>'F.F.M30%'!G18+'F.F.M.70%'!G18+'F.F.M.ESTIIMACIONES 2014'!G18</f>
        <v>1298388.0179898082</v>
      </c>
      <c r="H15" s="507">
        <f>'F.F.M30%'!H18+'F.F.M.70%'!H18+'F.F.M.ESTIIMACIONES 2014'!H18</f>
        <v>1367503.1977979073</v>
      </c>
      <c r="I15" s="507">
        <f>'F.F.M30%'!I18+'F.F.M.70%'!I18+'F.F.M.ESTIIMACIONES 2014'!I18</f>
        <v>1414849.6405643835</v>
      </c>
      <c r="J15" s="507">
        <f>'F.F.M30%'!J18+'F.F.M.70%'!J18+'F.F.M.ESTIIMACIONES 2014'!J18</f>
        <v>1299191.000669559</v>
      </c>
      <c r="K15" s="507">
        <f>'F.F.M30%'!K18+'F.F.M.70%'!K18+'F.F.M.ESTIIMACIONES 2014'!K18</f>
        <v>1361447.0328239028</v>
      </c>
      <c r="L15" s="507">
        <f>'F.F.M30%'!L18+'F.F.M.70%'!L18+'F.F.M.ESTIIMACIONES 2014'!L18</f>
        <v>1298254.3707751122</v>
      </c>
      <c r="M15" s="507">
        <f>'F.F.M30%'!M18+'F.F.M.70%'!M18+'F.F.M.ESTIIMACIONES 2014'!M18</f>
        <v>1252929.2547408056</v>
      </c>
      <c r="N15" s="507">
        <f>'F.F.M30%'!N18+'F.F.M.70%'!N18+'F.F.M.ESTIIMACIONES 2014'!N18</f>
        <v>1367784.7660616257</v>
      </c>
      <c r="O15" s="508">
        <f t="shared" si="0"/>
        <v>16342403.856183553</v>
      </c>
    </row>
    <row r="16" spans="1:15" ht="12.75" customHeight="1" x14ac:dyDescent="0.2">
      <c r="A16" s="505" t="s">
        <v>152</v>
      </c>
      <c r="B16" s="525"/>
      <c r="C16" s="507">
        <f>'F.F.M30%'!C19+'F.F.M.70%'!C19+'F.F.M.ESTIIMACIONES 2014'!C19</f>
        <v>1874154.4177227686</v>
      </c>
      <c r="D16" s="507">
        <f>'F.F.M30%'!D19+'F.F.M.70%'!D19+'F.F.M.ESTIIMACIONES 2014'!D19</f>
        <v>2313331.1592902923</v>
      </c>
      <c r="E16" s="507">
        <f>'F.F.M30%'!E19+'F.F.M.70%'!E19+'F.F.M.ESTIIMACIONES 2014'!E19</f>
        <v>1853169.9187612692</v>
      </c>
      <c r="F16" s="507">
        <f>'F.F.M30%'!F19+'F.F.M.70%'!F19+'F.F.M.ESTIIMACIONES 2014'!F19</f>
        <v>2298070.1028902321</v>
      </c>
      <c r="G16" s="507">
        <f>'F.F.M30%'!G19+'F.F.M.70%'!G19+'F.F.M.ESTIIMACIONES 2014'!G19</f>
        <v>1933498.3231704687</v>
      </c>
      <c r="H16" s="507">
        <f>'F.F.M30%'!H19+'F.F.M.70%'!H19+'F.F.M.ESTIIMACIONES 2014'!H19</f>
        <v>2027436.3426250974</v>
      </c>
      <c r="I16" s="507">
        <f>'F.F.M30%'!I19+'F.F.M.70%'!I19+'F.F.M.ESTIIMACIONES 2014'!I19</f>
        <v>2052327.1354406849</v>
      </c>
      <c r="J16" s="507">
        <f>'F.F.M30%'!J19+'F.F.M.70%'!J19+'F.F.M.ESTIIMACIONES 2014'!J19</f>
        <v>1919714.8350906267</v>
      </c>
      <c r="K16" s="507">
        <f>'F.F.M30%'!K19+'F.F.M.70%'!K19+'F.F.M.ESTIIMACIONES 2014'!K19</f>
        <v>1976706.1747505348</v>
      </c>
      <c r="L16" s="507">
        <f>'F.F.M30%'!L19+'F.F.M.70%'!L19+'F.F.M.ESTIIMACIONES 2014'!L19</f>
        <v>1859439.2777808355</v>
      </c>
      <c r="M16" s="507">
        <f>'F.F.M30%'!M19+'F.F.M.70%'!M19+'F.F.M.ESTIIMACIONES 2014'!M19</f>
        <v>1833046.4117965696</v>
      </c>
      <c r="N16" s="507">
        <f>'F.F.M30%'!N19+'F.F.M.70%'!N19+'F.F.M.ESTIIMACIONES 2014'!N19</f>
        <v>1985504.7703831065</v>
      </c>
      <c r="O16" s="508">
        <f t="shared" si="0"/>
        <v>23926398.869702488</v>
      </c>
    </row>
    <row r="17" spans="1:15" ht="12.75" customHeight="1" x14ac:dyDescent="0.2">
      <c r="A17" s="505" t="s">
        <v>261</v>
      </c>
      <c r="B17" s="525"/>
      <c r="C17" s="507">
        <f>'F.F.M30%'!C20+'F.F.M.70%'!C20+'F.F.M.ESTIIMACIONES 2014'!C20</f>
        <v>797924.46723774762</v>
      </c>
      <c r="D17" s="507">
        <f>'F.F.M30%'!D20+'F.F.M.70%'!D20+'F.F.M.ESTIIMACIONES 2014'!D20</f>
        <v>951987.72894940234</v>
      </c>
      <c r="E17" s="507">
        <f>'F.F.M30%'!E20+'F.F.M.70%'!E20+'F.F.M.ESTIIMACIONES 2014'!E20</f>
        <v>783584.77294334921</v>
      </c>
      <c r="F17" s="507">
        <f>'F.F.M30%'!F20+'F.F.M.70%'!F20+'F.F.M.ESTIIMACIONES 2014'!F20</f>
        <v>916222.85260059498</v>
      </c>
      <c r="G17" s="507">
        <f>'F.F.M30%'!G20+'F.F.M.70%'!G20+'F.F.M.ESTIIMACIONES 2014'!G20</f>
        <v>772867.56703072006</v>
      </c>
      <c r="H17" s="507">
        <f>'F.F.M30%'!H20+'F.F.M.70%'!H20+'F.F.M.ESTIIMACIONES 2014'!H20</f>
        <v>818947.88023984211</v>
      </c>
      <c r="I17" s="507">
        <f>'F.F.M30%'!I20+'F.F.M.70%'!I20+'F.F.M.ESTIIMACIONES 2014'!I20</f>
        <v>872207.21627203329</v>
      </c>
      <c r="J17" s="507">
        <f>'F.F.M30%'!J20+'F.F.M.70%'!J20+'F.F.M.ESTIIMACIONES 2014'!J20</f>
        <v>781580.15037461428</v>
      </c>
      <c r="K17" s="507">
        <f>'F.F.M30%'!K20+'F.F.M.70%'!K20+'F.F.M.ESTIIMACIONES 2014'!K20</f>
        <v>838273.23636994418</v>
      </c>
      <c r="L17" s="507">
        <f>'F.F.M30%'!L20+'F.F.M.70%'!L20+'F.F.M.ESTIIMACIONES 2014'!L20</f>
        <v>813391.39189299941</v>
      </c>
      <c r="M17" s="507">
        <f>'F.F.M30%'!M20+'F.F.M.70%'!M20+'F.F.M.ESTIIMACIONES 2014'!M20</f>
        <v>763815.73016010807</v>
      </c>
      <c r="N17" s="507">
        <f>'F.F.M30%'!N20+'F.F.M.70%'!N20+'F.F.M.ESTIIMACIONES 2014'!N20</f>
        <v>842397.20450669574</v>
      </c>
      <c r="O17" s="508">
        <f t="shared" si="0"/>
        <v>9953200.1985780522</v>
      </c>
    </row>
    <row r="18" spans="1:15" ht="12.75" customHeight="1" x14ac:dyDescent="0.2">
      <c r="A18" s="505" t="s">
        <v>262</v>
      </c>
      <c r="B18" s="525"/>
      <c r="C18" s="507">
        <f>'F.F.M30%'!C21+'F.F.M.70%'!C21+'F.F.M.ESTIIMACIONES 2014'!C21</f>
        <v>1119685.4466661566</v>
      </c>
      <c r="D18" s="507">
        <f>'F.F.M30%'!D21+'F.F.M.70%'!D21+'F.F.M.ESTIIMACIONES 2014'!D21</f>
        <v>1380080.9958325322</v>
      </c>
      <c r="E18" s="507">
        <f>'F.F.M30%'!E21+'F.F.M.70%'!E21+'F.F.M.ESTIIMACIONES 2014'!E21</f>
        <v>1106822.7659910647</v>
      </c>
      <c r="F18" s="507">
        <f>'F.F.M30%'!F21+'F.F.M.70%'!F21+'F.F.M.ESTIIMACIONES 2014'!F21</f>
        <v>1369199.4673822522</v>
      </c>
      <c r="G18" s="507">
        <f>'F.F.M30%'!G21+'F.F.M.70%'!G21+'F.F.M.ESTIIMACIONES 2014'!G21</f>
        <v>1152106.47138262</v>
      </c>
      <c r="H18" s="507">
        <f>'F.F.M30%'!H21+'F.F.M.70%'!H21+'F.F.M.ESTIIMACIONES 2014'!H21</f>
        <v>1208595.1564087605</v>
      </c>
      <c r="I18" s="507">
        <f>'F.F.M30%'!I21+'F.F.M.70%'!I21+'F.F.M.ESTIIMACIONES 2014'!I21</f>
        <v>1226037.1589913971</v>
      </c>
      <c r="J18" s="507">
        <f>'F.F.M30%'!J21+'F.F.M.70%'!J21+'F.F.M.ESTIIMACIONES 2014'!J21</f>
        <v>1144750.570315721</v>
      </c>
      <c r="K18" s="507">
        <f>'F.F.M30%'!K21+'F.F.M.70%'!K21+'F.F.M.ESTIIMACIONES 2014'!K21</f>
        <v>1180753.7820612607</v>
      </c>
      <c r="L18" s="507">
        <f>'F.F.M30%'!L21+'F.F.M.70%'!L21+'F.F.M.ESTIIMACIONES 2014'!L21</f>
        <v>1112203.9564671575</v>
      </c>
      <c r="M18" s="507">
        <f>'F.F.M30%'!M21+'F.F.M.70%'!M21+'F.F.M.ESTIIMACIONES 2014'!M21</f>
        <v>1094125.1343765841</v>
      </c>
      <c r="N18" s="507">
        <f>'F.F.M30%'!N21+'F.F.M.70%'!N21+'F.F.M.ESTIIMACIONES 2014'!N21</f>
        <v>1186033.1513123016</v>
      </c>
      <c r="O18" s="508">
        <f t="shared" si="0"/>
        <v>14280394.057187805</v>
      </c>
    </row>
    <row r="19" spans="1:15" ht="12.75" customHeight="1" x14ac:dyDescent="0.2">
      <c r="A19" s="505" t="s">
        <v>263</v>
      </c>
      <c r="B19" s="525"/>
      <c r="C19" s="507">
        <f>'F.F.M30%'!C22+'F.F.M.70%'!C22+'F.F.M.ESTIIMACIONES 2014'!C22</f>
        <v>6095638.1300023533</v>
      </c>
      <c r="D19" s="507">
        <f>'F.F.M30%'!D22+'F.F.M.70%'!D22+'F.F.M.ESTIIMACIONES 2014'!D22</f>
        <v>9232380.0631659366</v>
      </c>
      <c r="E19" s="507">
        <f>'F.F.M30%'!E22+'F.F.M.70%'!E22+'F.F.M.ESTIIMACIONES 2014'!E22</f>
        <v>6307922.4710088549</v>
      </c>
      <c r="F19" s="507">
        <f>'F.F.M30%'!F22+'F.F.M.70%'!F22+'F.F.M.ESTIIMACIONES 2014'!F22</f>
        <v>10701670.778932448</v>
      </c>
      <c r="G19" s="507">
        <f>'F.F.M30%'!G22+'F.F.M.70%'!G22+'F.F.M.ESTIIMACIONES 2014'!G22</f>
        <v>8900306.3023615852</v>
      </c>
      <c r="H19" s="507">
        <f>'F.F.M30%'!H22+'F.F.M.70%'!H22+'F.F.M.ESTIIMACIONES 2014'!H22</f>
        <v>8889983.0167772155</v>
      </c>
      <c r="I19" s="507">
        <f>'F.F.M30%'!I22+'F.F.M.70%'!I22+'F.F.M.ESTIIMACIONES 2014'!I22</f>
        <v>6756858.6444576513</v>
      </c>
      <c r="J19" s="507">
        <f>'F.F.M30%'!J22+'F.F.M.70%'!J22+'F.F.M.ESTIIMACIONES 2014'!J22</f>
        <v>8098752.6694589853</v>
      </c>
      <c r="K19" s="507">
        <f>'F.F.M30%'!K22+'F.F.M.70%'!K22+'F.F.M.ESTIIMACIONES 2014'!K22</f>
        <v>6601114.1619550316</v>
      </c>
      <c r="L19" s="507">
        <f>'F.F.M30%'!L22+'F.F.M.70%'!L22+'F.F.M.ESTIIMACIONES 2014'!L22</f>
        <v>4919930.9524133028</v>
      </c>
      <c r="M19" s="507">
        <f>'F.F.M30%'!M22+'F.F.M.70%'!M22+'F.F.M.ESTIIMACIONES 2014'!M22</f>
        <v>6823804.5747113815</v>
      </c>
      <c r="N19" s="507">
        <f>'F.F.M30%'!N22+'F.F.M.70%'!N22+'F.F.M.ESTIIMACIONES 2014'!N22</f>
        <v>6610116.4091245634</v>
      </c>
      <c r="O19" s="508">
        <f t="shared" si="0"/>
        <v>89938478.17436932</v>
      </c>
    </row>
    <row r="20" spans="1:15" ht="12.75" customHeight="1" x14ac:dyDescent="0.2">
      <c r="A20" s="505" t="s">
        <v>156</v>
      </c>
      <c r="B20" s="525"/>
      <c r="C20" s="507">
        <f>'F.F.M30%'!C23+'F.F.M.70%'!C23+'F.F.M.ESTIIMACIONES 2014'!C23</f>
        <v>1423721.9091484775</v>
      </c>
      <c r="D20" s="507">
        <f>'F.F.M30%'!D23+'F.F.M.70%'!D23+'F.F.M.ESTIIMACIONES 2014'!D23</f>
        <v>1772866.3273517231</v>
      </c>
      <c r="E20" s="507">
        <f>'F.F.M30%'!E23+'F.F.M.70%'!E23+'F.F.M.ESTIIMACIONES 2014'!E23</f>
        <v>1410329.2784608048</v>
      </c>
      <c r="F20" s="507">
        <f>'F.F.M30%'!F23+'F.F.M.70%'!F23+'F.F.M.ESTIIMACIONES 2014'!F23</f>
        <v>1775071.4946930963</v>
      </c>
      <c r="G20" s="507">
        <f>'F.F.M30%'!G23+'F.F.M.70%'!G23+'F.F.M.ESTIIMACIONES 2014'!G23</f>
        <v>1492528.2157295905</v>
      </c>
      <c r="H20" s="507">
        <f>'F.F.M30%'!H23+'F.F.M.70%'!H23+'F.F.M.ESTIIMACIONES 2014'!H23</f>
        <v>1561019.9437168674</v>
      </c>
      <c r="I20" s="507">
        <f>'F.F.M30%'!I23+'F.F.M.70%'!I23+'F.F.M.ESTIIMACIONES 2014'!I23</f>
        <v>1559815.1186825214</v>
      </c>
      <c r="J20" s="507">
        <f>'F.F.M30%'!J23+'F.F.M.70%'!J23+'F.F.M.ESTIIMACIONES 2014'!J23</f>
        <v>1475183.1335780541</v>
      </c>
      <c r="K20" s="507">
        <f>'F.F.M30%'!K23+'F.F.M.70%'!K23+'F.F.M.ESTIIMACIONES 2014'!K23</f>
        <v>1503188.3301423676</v>
      </c>
      <c r="L20" s="507">
        <f>'F.F.M30%'!L23+'F.F.M.70%'!L23+'F.F.M.ESTIIMACIONES 2014'!L23</f>
        <v>1402297.6894301588</v>
      </c>
      <c r="M20" s="507">
        <f>'F.F.M30%'!M23+'F.F.M.70%'!M23+'F.F.M.ESTIIMACIONES 2014'!M23</f>
        <v>1400323.2452801</v>
      </c>
      <c r="N20" s="507">
        <f>'F.F.M30%'!N23+'F.F.M.70%'!N23+'F.F.M.ESTIIMACIONES 2014'!N23</f>
        <v>1509694.0913459295</v>
      </c>
      <c r="O20" s="508">
        <f t="shared" si="0"/>
        <v>18286038.777559694</v>
      </c>
    </row>
    <row r="21" spans="1:15" ht="12.75" customHeight="1" x14ac:dyDescent="0.2">
      <c r="A21" s="505" t="s">
        <v>157</v>
      </c>
      <c r="B21" s="525"/>
      <c r="C21" s="507">
        <f>'F.F.M30%'!C24+'F.F.M.70%'!C24+'F.F.M.ESTIIMACIONES 2014'!C24</f>
        <v>17176720.118306685</v>
      </c>
      <c r="D21" s="507">
        <f>'F.F.M30%'!D24+'F.F.M.70%'!D24+'F.F.M.ESTIIMACIONES 2014'!D24</f>
        <v>22186182.482969083</v>
      </c>
      <c r="E21" s="507">
        <f>'F.F.M30%'!E24+'F.F.M.70%'!E24+'F.F.M.ESTIIMACIONES 2014'!E24</f>
        <v>17146048.270237282</v>
      </c>
      <c r="F21" s="507">
        <f>'F.F.M30%'!F24+'F.F.M.70%'!F24+'F.F.M.ESTIIMACIONES 2014'!F24</f>
        <v>22921559.749416657</v>
      </c>
      <c r="G21" s="507">
        <f>'F.F.M30%'!G24+'F.F.M.70%'!G24+'F.F.M.ESTIIMACIONES 2014'!G24</f>
        <v>19225513.536975306</v>
      </c>
      <c r="H21" s="507">
        <f>'F.F.M30%'!H24+'F.F.M.70%'!H24+'F.F.M.ESTIIMACIONES 2014'!H24</f>
        <v>19904456.726989456</v>
      </c>
      <c r="I21" s="507">
        <f>'F.F.M30%'!I24+'F.F.M.70%'!I24+'F.F.M.ESTIIMACIONES 2014'!I24</f>
        <v>18856770.398205988</v>
      </c>
      <c r="J21" s="507">
        <f>'F.F.M30%'!J24+'F.F.M.70%'!J24+'F.F.M.ESTIIMACIONES 2014'!J24</f>
        <v>18663143.365571842</v>
      </c>
      <c r="K21" s="507">
        <f>'F.F.M30%'!K24+'F.F.M.70%'!K24+'F.F.M.ESTIIMACIONES 2014'!K24</f>
        <v>18215682.248579375</v>
      </c>
      <c r="L21" s="507">
        <f>'F.F.M30%'!L24+'F.F.M.70%'!L24+'F.F.M.ESTIIMACIONES 2014'!L24</f>
        <v>16391960.265129834</v>
      </c>
      <c r="M21" s="507">
        <f>'F.F.M30%'!M24+'F.F.M.70%'!M24+'F.F.M.ESTIIMACIONES 2014'!M24</f>
        <v>17296594.833811641</v>
      </c>
      <c r="N21" s="507">
        <f>'F.F.M30%'!N24+'F.F.M.70%'!N24+'F.F.M.ESTIIMACIONES 2014'!N24</f>
        <v>18285019.170397263</v>
      </c>
      <c r="O21" s="508">
        <f t="shared" si="0"/>
        <v>226269651.16659045</v>
      </c>
    </row>
    <row r="22" spans="1:15" ht="12.75" customHeight="1" x14ac:dyDescent="0.2">
      <c r="A22" s="505" t="s">
        <v>158</v>
      </c>
      <c r="B22" s="525"/>
      <c r="C22" s="507">
        <f>'F.F.M30%'!C25+'F.F.M.70%'!C25+'F.F.M.ESTIIMACIONES 2014'!C25</f>
        <v>2371096.5462949448</v>
      </c>
      <c r="D22" s="507">
        <f>'F.F.M30%'!D25+'F.F.M.70%'!D25+'F.F.M.ESTIIMACIONES 2014'!D25</f>
        <v>3456357.1689664964</v>
      </c>
      <c r="E22" s="507">
        <f>'F.F.M30%'!E25+'F.F.M.70%'!E25+'F.F.M.ESTIIMACIONES 2014'!E25</f>
        <v>2431522.417893644</v>
      </c>
      <c r="F22" s="507">
        <f>'F.F.M30%'!F25+'F.F.M.70%'!F25+'F.F.M.ESTIIMACIONES 2014'!F25</f>
        <v>3907962.3949100534</v>
      </c>
      <c r="G22" s="507">
        <f>'F.F.M30%'!G25+'F.F.M.70%'!G25+'F.F.M.ESTIIMACIONES 2014'!G25</f>
        <v>3255866.6695931833</v>
      </c>
      <c r="H22" s="507">
        <f>'F.F.M30%'!H25+'F.F.M.70%'!H25+'F.F.M.ESTIIMACIONES 2014'!H25</f>
        <v>3276788.5881343931</v>
      </c>
      <c r="I22" s="507">
        <f>'F.F.M30%'!I25+'F.F.M.70%'!I25+'F.F.M.ESTIIMACIONES 2014'!I25</f>
        <v>2621847.8763961522</v>
      </c>
      <c r="J22" s="507">
        <f>'F.F.M30%'!J25+'F.F.M.70%'!J25+'F.F.M.ESTIIMACIONES 2014'!J25</f>
        <v>3003821.5588175231</v>
      </c>
      <c r="K22" s="507">
        <f>'F.F.M30%'!K25+'F.F.M.70%'!K25+'F.F.M.ESTIIMACIONES 2014'!K25</f>
        <v>2554143.6332414402</v>
      </c>
      <c r="L22" s="507">
        <f>'F.F.M30%'!L25+'F.F.M.70%'!L25+'F.F.M.ESTIIMACIONES 2014'!L25</f>
        <v>2002813.3903413475</v>
      </c>
      <c r="M22" s="507">
        <f>'F.F.M30%'!M25+'F.F.M.70%'!M25+'F.F.M.ESTIIMACIONES 2014'!M25</f>
        <v>2586293.7841837807</v>
      </c>
      <c r="N22" s="507">
        <f>'F.F.M30%'!N25+'F.F.M.70%'!N25+'F.F.M.ESTIIMACIONES 2014'!N25</f>
        <v>2559194.0004440248</v>
      </c>
      <c r="O22" s="508">
        <f t="shared" si="0"/>
        <v>34027708.02921699</v>
      </c>
    </row>
    <row r="23" spans="1:15" ht="12.75" customHeight="1" thickBot="1" x14ac:dyDescent="0.25">
      <c r="A23" s="505" t="s">
        <v>159</v>
      </c>
      <c r="B23" s="525"/>
      <c r="C23" s="507">
        <f>'F.F.M30%'!C26+'F.F.M.70%'!C26+'F.F.M.ESTIIMACIONES 2014'!C26</f>
        <v>1630771.515697073</v>
      </c>
      <c r="D23" s="507">
        <f>'F.F.M30%'!D26+'F.F.M.70%'!D26+'F.F.M.ESTIIMACIONES 2014'!D26</f>
        <v>2255286.3350111698</v>
      </c>
      <c r="E23" s="507">
        <f>'F.F.M30%'!E26+'F.F.M.70%'!E26+'F.F.M.ESTIIMACIONES 2014'!E26</f>
        <v>1652313.365442442</v>
      </c>
      <c r="F23" s="507">
        <f>'F.F.M30%'!F26+'F.F.M.70%'!F26+'F.F.M.ESTIIMACIONES 2014'!F26</f>
        <v>2457506.0467292881</v>
      </c>
      <c r="G23" s="507">
        <f>'F.F.M30%'!G26+'F.F.M.70%'!G26+'F.F.M.ESTIIMACIONES 2014'!G26</f>
        <v>2052939.2347322055</v>
      </c>
      <c r="H23" s="507">
        <f>'F.F.M30%'!H26+'F.F.M.70%'!H26+'F.F.M.ESTIIMACIONES 2014'!H26</f>
        <v>2089866.1392408418</v>
      </c>
      <c r="I23" s="507">
        <f>'F.F.M30%'!I26+'F.F.M.70%'!I26+'F.F.M.ESTIIMACIONES 2014'!I26</f>
        <v>1797400.0927621683</v>
      </c>
      <c r="J23" s="507">
        <f>'F.F.M30%'!J26+'F.F.M.70%'!J26+'F.F.M.ESTIIMACIONES 2014'!J26</f>
        <v>1933585.0215996727</v>
      </c>
      <c r="K23" s="507">
        <f>'F.F.M30%'!K26+'F.F.M.70%'!K26+'F.F.M.ESTIIMACIONES 2014'!K26</f>
        <v>1744398.1942947796</v>
      </c>
      <c r="L23" s="507">
        <f>'F.F.M30%'!L26+'F.F.M.70%'!L26+'F.F.M.ESTIIMACIONES 2014'!L26</f>
        <v>1457953.2232364288</v>
      </c>
      <c r="M23" s="507">
        <f>'F.F.M30%'!M26+'F.F.M.70%'!M26+'F.F.M.ESTIIMACIONES 2014'!M26</f>
        <v>1717280.2605846839</v>
      </c>
      <c r="N23" s="507">
        <f>'F.F.M30%'!N26+'F.F.M.70%'!N26+'F.F.M.ESTIIMACIONES 2014'!N26</f>
        <v>1749271.29304683</v>
      </c>
      <c r="O23" s="508">
        <f t="shared" si="0"/>
        <v>22538570.722377583</v>
      </c>
    </row>
    <row r="24" spans="1:15" ht="13.5" thickBot="1" x14ac:dyDescent="0.25">
      <c r="A24" s="510" t="s">
        <v>264</v>
      </c>
      <c r="B24" s="526">
        <f t="shared" ref="B24:N24" si="1">SUM(B4:B23)</f>
        <v>0</v>
      </c>
      <c r="C24" s="512">
        <f t="shared" si="1"/>
        <v>49683257.003376581</v>
      </c>
      <c r="D24" s="512">
        <f t="shared" si="1"/>
        <v>67337248.138559207</v>
      </c>
      <c r="E24" s="512">
        <f t="shared" si="1"/>
        <v>50114159.249773666</v>
      </c>
      <c r="F24" s="512">
        <f t="shared" si="1"/>
        <v>72277727.07249026</v>
      </c>
      <c r="G24" s="512">
        <f t="shared" si="1"/>
        <v>60446753.647698246</v>
      </c>
      <c r="H24" s="512">
        <f t="shared" si="1"/>
        <v>61825542.852046199</v>
      </c>
      <c r="I24" s="512">
        <f t="shared" si="1"/>
        <v>54694124.879864477</v>
      </c>
      <c r="J24" s="512">
        <f t="shared" si="1"/>
        <v>57418478.037124626</v>
      </c>
      <c r="K24" s="512">
        <f t="shared" si="1"/>
        <v>53006884.468336113</v>
      </c>
      <c r="L24" s="512">
        <f t="shared" si="1"/>
        <v>45324314.841493957</v>
      </c>
      <c r="M24" s="512">
        <f t="shared" si="1"/>
        <v>51626380.541841224</v>
      </c>
      <c r="N24" s="512">
        <f t="shared" si="1"/>
        <v>53171108.267395392</v>
      </c>
      <c r="O24" s="512">
        <f t="shared" si="0"/>
        <v>676925978.99999988</v>
      </c>
    </row>
    <row r="25" spans="1:15" x14ac:dyDescent="0.2">
      <c r="A25" s="513"/>
      <c r="B25" s="513"/>
      <c r="C25" s="513"/>
      <c r="D25" s="513"/>
      <c r="E25" s="513"/>
      <c r="F25" s="513"/>
      <c r="G25" s="513"/>
      <c r="H25" s="513"/>
      <c r="I25" s="513"/>
      <c r="J25" s="513"/>
      <c r="K25" s="513"/>
      <c r="L25" s="513"/>
      <c r="M25" s="513"/>
      <c r="N25" s="513"/>
      <c r="O25" s="513"/>
    </row>
    <row r="26" spans="1:15" x14ac:dyDescent="0.2">
      <c r="A26" s="514" t="s">
        <v>265</v>
      </c>
      <c r="M26" s="509"/>
      <c r="O26" s="509"/>
    </row>
    <row r="27" spans="1:15" x14ac:dyDescent="0.2">
      <c r="O27" s="509"/>
    </row>
    <row r="28" spans="1:15" x14ac:dyDescent="0.2">
      <c r="M28" s="509"/>
    </row>
    <row r="29" spans="1:15" x14ac:dyDescent="0.2">
      <c r="O29" s="509"/>
    </row>
  </sheetData>
  <mergeCells count="1">
    <mergeCell ref="A1:O1"/>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4" tint="0.39997558519241921"/>
  </sheetPr>
  <dimension ref="A1:Q26"/>
  <sheetViews>
    <sheetView workbookViewId="0">
      <selection activeCell="D8" sqref="D8"/>
    </sheetView>
  </sheetViews>
  <sheetFormatPr baseColWidth="10" defaultRowHeight="12.75" x14ac:dyDescent="0.2"/>
  <cols>
    <col min="1" max="1" width="16.85546875" style="500" customWidth="1"/>
    <col min="2" max="2" width="9.28515625" style="500" hidden="1" customWidth="1"/>
    <col min="3" max="10" width="7.85546875" style="500" customWidth="1"/>
    <col min="11" max="11" width="9.42578125" style="500" customWidth="1"/>
    <col min="12" max="12" width="7.85546875" style="500" customWidth="1"/>
    <col min="13" max="13" width="9.42578125" style="500" customWidth="1"/>
    <col min="14" max="14" width="8.5703125" style="500" customWidth="1"/>
    <col min="15" max="15" width="8.7109375" style="500" bestFit="1" customWidth="1"/>
    <col min="16" max="16" width="11.7109375" style="500" bestFit="1" customWidth="1"/>
    <col min="17" max="16384" width="11.42578125" style="500"/>
  </cols>
  <sheetData>
    <row r="1" spans="1:16" x14ac:dyDescent="0.2">
      <c r="A1" s="1193" t="s">
        <v>322</v>
      </c>
      <c r="B1" s="1193"/>
      <c r="C1" s="1193"/>
      <c r="D1" s="1193"/>
      <c r="E1" s="1193"/>
      <c r="F1" s="1193"/>
      <c r="G1" s="1193"/>
      <c r="H1" s="1193"/>
      <c r="I1" s="1193"/>
      <c r="J1" s="1193"/>
      <c r="K1" s="1193"/>
      <c r="L1" s="1193"/>
      <c r="M1" s="1193"/>
      <c r="N1" s="1193"/>
      <c r="O1" s="1193"/>
    </row>
    <row r="2" spans="1:16" ht="13.5" thickBot="1" x14ac:dyDescent="0.25"/>
    <row r="3" spans="1:16" ht="23.25" thickBot="1" x14ac:dyDescent="0.25">
      <c r="A3" s="501" t="s">
        <v>286</v>
      </c>
      <c r="B3" s="502" t="s">
        <v>257</v>
      </c>
      <c r="C3" s="501" t="s">
        <v>1</v>
      </c>
      <c r="D3" s="503" t="s">
        <v>2</v>
      </c>
      <c r="E3" s="501" t="s">
        <v>3</v>
      </c>
      <c r="F3" s="503" t="s">
        <v>4</v>
      </c>
      <c r="G3" s="501" t="s">
        <v>5</v>
      </c>
      <c r="H3" s="501" t="s">
        <v>6</v>
      </c>
      <c r="I3" s="501" t="s">
        <v>7</v>
      </c>
      <c r="J3" s="503" t="s">
        <v>8</v>
      </c>
      <c r="K3" s="501" t="s">
        <v>9</v>
      </c>
      <c r="L3" s="503" t="s">
        <v>10</v>
      </c>
      <c r="M3" s="501" t="s">
        <v>11</v>
      </c>
      <c r="N3" s="501" t="s">
        <v>12</v>
      </c>
      <c r="O3" s="504" t="s">
        <v>160</v>
      </c>
    </row>
    <row r="4" spans="1:16" ht="12.75" customHeight="1" x14ac:dyDescent="0.2">
      <c r="A4" s="505" t="s">
        <v>258</v>
      </c>
      <c r="B4" s="516"/>
      <c r="C4" s="507">
        <f>[4]IEPSGASINCREMENTO!C7+'[4]IEPSGAS ESTIMACIONES'!C7</f>
        <v>158003.16191889267</v>
      </c>
      <c r="D4" s="507">
        <f>[4]IEPSGASINCREMENTO!D7+'[4]IEPSGAS ESTIMACIONES'!D7</f>
        <v>159173.21571353698</v>
      </c>
      <c r="E4" s="507">
        <f>[4]IEPSGASINCREMENTO!E7+'[4]IEPSGAS ESTIMACIONES'!E7</f>
        <v>154171.52363969112</v>
      </c>
      <c r="F4" s="507">
        <f>[4]IEPSGASINCREMENTO!F7+'[4]IEPSGAS ESTIMACIONES'!F7</f>
        <v>164287.98695899823</v>
      </c>
      <c r="G4" s="507">
        <f>[4]IEPSGASINCREMENTO!G7+'[4]IEPSGAS ESTIMACIONES'!G7</f>
        <v>162362.89788612153</v>
      </c>
      <c r="H4" s="507">
        <f>[4]IEPSGASINCREMENTO!H7+'[4]IEPSGAS ESTIMACIONES'!H7</f>
        <v>167315.45673259062</v>
      </c>
      <c r="I4" s="507">
        <f>[4]IEPSGASINCREMENTO!I7+'[4]IEPSGAS ESTIMACIONES'!I7</f>
        <v>160873.6114335173</v>
      </c>
      <c r="J4" s="507">
        <f>[4]IEPSGASINCREMENTO!J7+'[4]IEPSGAS ESTIMACIONES'!J7</f>
        <v>163183.68391553813</v>
      </c>
      <c r="K4" s="507">
        <f>[4]IEPSGASINCREMENTO!K7+'[4]IEPSGAS ESTIMACIONES'!K7</f>
        <v>159034.06965854272</v>
      </c>
      <c r="L4" s="507">
        <f>[4]IEPSGASINCREMENTO!L7+'[4]IEPSGAS ESTIMACIONES'!L7</f>
        <v>153955.79267953325</v>
      </c>
      <c r="M4" s="507">
        <f>[4]IEPSGASINCREMENTO!M7+'[4]IEPSGAS ESTIMACIONES'!M7</f>
        <v>157126.69362675384</v>
      </c>
      <c r="N4" s="507">
        <f>[4]IEPSGASINCREMENTO!N7+'[4]IEPSGAS ESTIMACIONES'!N7</f>
        <v>146646.55149290251</v>
      </c>
      <c r="O4" s="508">
        <f>SUM(C4:N4)</f>
        <v>1906134.645656619</v>
      </c>
      <c r="P4" s="509"/>
    </row>
    <row r="5" spans="1:16" ht="12.75" customHeight="1" x14ac:dyDescent="0.2">
      <c r="A5" s="505" t="s">
        <v>141</v>
      </c>
      <c r="B5" s="517"/>
      <c r="C5" s="507">
        <f>[4]IEPSGASINCREMENTO!C8+'[4]IEPSGAS ESTIMACIONES'!C8</f>
        <v>65458.589763628042</v>
      </c>
      <c r="D5" s="507">
        <f>[4]IEPSGASINCREMENTO!D8+'[4]IEPSGAS ESTIMACIONES'!D8</f>
        <v>65945.904965347596</v>
      </c>
      <c r="E5" s="507">
        <f>[4]IEPSGASINCREMENTO!E8+'[4]IEPSGAS ESTIMACIONES'!E8</f>
        <v>63519.116616850064</v>
      </c>
      <c r="F5" s="507">
        <f>[4]IEPSGASINCREMENTO!F8+'[4]IEPSGAS ESTIMACIONES'!F8</f>
        <v>67942.281697750092</v>
      </c>
      <c r="G5" s="507">
        <f>[4]IEPSGASINCREMENTO!G8+'[4]IEPSGAS ESTIMACIONES'!G8</f>
        <v>66963.947231574799</v>
      </c>
      <c r="H5" s="507">
        <f>[4]IEPSGASINCREMENTO!H8+'[4]IEPSGAS ESTIMACIONES'!H8</f>
        <v>69178.227965725091</v>
      </c>
      <c r="I5" s="507">
        <f>[4]IEPSGASINCREMENTO!I8+'[4]IEPSGAS ESTIMACIONES'!I8</f>
        <v>66337.005001986079</v>
      </c>
      <c r="J5" s="507">
        <f>[4]IEPSGASINCREMENTO!J8+'[4]IEPSGAS ESTIMACIONES'!J8</f>
        <v>67342.852675681948</v>
      </c>
      <c r="K5" s="507">
        <f>[4]IEPSGASINCREMENTO!K8+'[4]IEPSGAS ESTIMACIONES'!K8</f>
        <v>65680.361947734738</v>
      </c>
      <c r="L5" s="507">
        <f>[4]IEPSGASINCREMENTO!L8+'[4]IEPSGAS ESTIMACIONES'!L8</f>
        <v>63386.587151522326</v>
      </c>
      <c r="M5" s="507">
        <f>[4]IEPSGASINCREMENTO!M8+'[4]IEPSGAS ESTIMACIONES'!M8</f>
        <v>64832.556450389777</v>
      </c>
      <c r="N5" s="507">
        <f>[4]IEPSGASINCREMENTO!N8+'[4]IEPSGAS ESTIMACIONES'!N8</f>
        <v>60972.464779506452</v>
      </c>
      <c r="O5" s="508">
        <f t="shared" ref="O5:O23" si="0">SUM(C5:N5)</f>
        <v>787559.89624769695</v>
      </c>
      <c r="P5" s="509"/>
    </row>
    <row r="6" spans="1:16" ht="12.75" customHeight="1" x14ac:dyDescent="0.2">
      <c r="A6" s="505" t="s">
        <v>142</v>
      </c>
      <c r="B6" s="517"/>
      <c r="C6" s="507">
        <f>[4]IEPSGASINCREMENTO!C9+'[4]IEPSGAS ESTIMACIONES'!C9</f>
        <v>48125.478487627683</v>
      </c>
      <c r="D6" s="507">
        <f>[4]IEPSGASINCREMENTO!D9+'[4]IEPSGAS ESTIMACIONES'!D9</f>
        <v>48484.389989804287</v>
      </c>
      <c r="E6" s="507">
        <f>[4]IEPSGASINCREMENTO!E9+'[4]IEPSGAS ESTIMACIONES'!E9</f>
        <v>46612.839107632455</v>
      </c>
      <c r="F6" s="507">
        <f>[4]IEPSGASINCREMENTO!F9+'[4]IEPSGAS ESTIMACIONES'!F9</f>
        <v>49921.934174082446</v>
      </c>
      <c r="G6" s="507">
        <f>[4]IEPSGASINCREMENTO!G9+'[4]IEPSGAS ESTIMACIONES'!G9</f>
        <v>49158.121332023744</v>
      </c>
      <c r="H6" s="507">
        <f>[4]IEPSGASINCREMENTO!H9+'[4]IEPSGAS ESTIMACIONES'!H9</f>
        <v>50826.101547345061</v>
      </c>
      <c r="I6" s="507">
        <f>[4]IEPSGASINCREMENTO!I9+'[4]IEPSGAS ESTIMACIONES'!I9</f>
        <v>48694.739060591892</v>
      </c>
      <c r="J6" s="507">
        <f>[4]IEPSGASINCREMENTO!J9+'[4]IEPSGAS ESTIMACIONES'!J9</f>
        <v>49446.268280952019</v>
      </c>
      <c r="K6" s="507">
        <f>[4]IEPSGASINCREMENTO!K9+'[4]IEPSGAS ESTIMACIONES'!K9</f>
        <v>48237.949047840186</v>
      </c>
      <c r="L6" s="507">
        <f>[4]IEPSGASINCREMENTO!L9+'[4]IEPSGAS ESTIMACIONES'!L9</f>
        <v>46504.772160810142</v>
      </c>
      <c r="M6" s="507">
        <f>[4]IEPSGASINCREMENTO!M9+'[4]IEPSGAS ESTIMACIONES'!M9</f>
        <v>47600.448032537344</v>
      </c>
      <c r="N6" s="507">
        <f>[4]IEPSGASINCREMENTO!N9+'[4]IEPSGAS ESTIMACIONES'!N9</f>
        <v>44881.147230831746</v>
      </c>
      <c r="O6" s="508">
        <f t="shared" si="0"/>
        <v>578494.18845207908</v>
      </c>
      <c r="P6" s="509"/>
    </row>
    <row r="7" spans="1:16" ht="12.75" customHeight="1" x14ac:dyDescent="0.2">
      <c r="A7" s="505" t="s">
        <v>259</v>
      </c>
      <c r="B7" s="517"/>
      <c r="C7" s="507">
        <f>[4]IEPSGASINCREMENTO!C10+'[4]IEPSGAS ESTIMACIONES'!C10</f>
        <v>461516.49954258977</v>
      </c>
      <c r="D7" s="507">
        <f>[4]IEPSGASINCREMENTO!D10+'[4]IEPSGAS ESTIMACIONES'!D10</f>
        <v>465148.47126934107</v>
      </c>
      <c r="E7" s="507">
        <f>[4]IEPSGASINCREMENTO!E10+'[4]IEPSGAS ESTIMACIONES'!E10</f>
        <v>421049.98750199331</v>
      </c>
      <c r="F7" s="507">
        <f>[4]IEPSGASINCREMENTO!F10+'[4]IEPSGAS ESTIMACIONES'!F10</f>
        <v>469894.03767144686</v>
      </c>
      <c r="G7" s="507">
        <f>[4]IEPSGASINCREMENTO!G10+'[4]IEPSGAS ESTIMACIONES'!G10</f>
        <v>449238.12855146552</v>
      </c>
      <c r="H7" s="507">
        <f>[4]IEPSGASINCREMENTO!H10+'[4]IEPSGAS ESTIMACIONES'!H10</f>
        <v>477215.97163923073</v>
      </c>
      <c r="I7" s="507">
        <f>[4]IEPSGASINCREMENTO!I10+'[4]IEPSGAS ESTIMACIONES'!I10</f>
        <v>444060.62977539864</v>
      </c>
      <c r="J7" s="507">
        <f>[4]IEPSGASINCREMENTO!J10+'[4]IEPSGAS ESTIMACIONES'!J10</f>
        <v>454867.12775422557</v>
      </c>
      <c r="K7" s="507">
        <f>[4]IEPSGASINCREMENTO!K10+'[4]IEPSGAS ESTIMACIONES'!K10</f>
        <v>447455.79918356985</v>
      </c>
      <c r="L7" s="507">
        <f>[4]IEPSGASINCREMENTO!L10+'[4]IEPSGAS ESTIMACIONES'!L10</f>
        <v>416831.58916406828</v>
      </c>
      <c r="M7" s="507">
        <f>[4]IEPSGASINCREMENTO!M10+'[4]IEPSGAS ESTIMACIONES'!M10</f>
        <v>437094.71407056204</v>
      </c>
      <c r="N7" s="507">
        <f>[4]IEPSGASINCREMENTO!N10+'[4]IEPSGAS ESTIMACIONES'!N10</f>
        <v>446534.63989518961</v>
      </c>
      <c r="O7" s="508">
        <f t="shared" si="0"/>
        <v>5390907.5960190808</v>
      </c>
      <c r="P7" s="509"/>
    </row>
    <row r="8" spans="1:16" ht="12.75" customHeight="1" x14ac:dyDescent="0.2">
      <c r="A8" s="505" t="s">
        <v>144</v>
      </c>
      <c r="B8" s="517"/>
      <c r="C8" s="507">
        <f>[4]IEPSGASINCREMENTO!C11+'[4]IEPSGAS ESTIMACIONES'!C11</f>
        <v>297283.44680235273</v>
      </c>
      <c r="D8" s="507">
        <f>[4]IEPSGASINCREMENTO!D11+'[4]IEPSGAS ESTIMACIONES'!D11</f>
        <v>299512.54818395601</v>
      </c>
      <c r="E8" s="507">
        <f>[4]IEPSGASINCREMENTO!E11+'[4]IEPSGAS ESTIMACIONES'!E11</f>
        <v>286298.6536621541</v>
      </c>
      <c r="F8" s="507">
        <f>[4]IEPSGASINCREMENTO!F11+'[4]IEPSGAS ESTIMACIONES'!F11</f>
        <v>307821.2383964748</v>
      </c>
      <c r="G8" s="507">
        <f>[4]IEPSGASINCREMENTO!G11+'[4]IEPSGAS ESTIMACIONES'!G11</f>
        <v>302260.3827585337</v>
      </c>
      <c r="H8" s="507">
        <f>[4]IEPSGASINCREMENTO!H11+'[4]IEPSGAS ESTIMACIONES'!H11</f>
        <v>313321.25537628366</v>
      </c>
      <c r="I8" s="507">
        <f>[4]IEPSGASINCREMENTO!I11+'[4]IEPSGAS ESTIMACIONES'!I11</f>
        <v>299351.57617467543</v>
      </c>
      <c r="J8" s="507">
        <f>[4]IEPSGASINCREMENTO!J11+'[4]IEPSGAS ESTIMACIONES'!J11</f>
        <v>304221.46739004867</v>
      </c>
      <c r="K8" s="507">
        <f>[4]IEPSGASINCREMENTO!K11+'[4]IEPSGAS ESTIMACIONES'!K11</f>
        <v>297021.330310071</v>
      </c>
      <c r="L8" s="507">
        <f>[4]IEPSGASINCREMENTO!L11+'[4]IEPSGAS ESTIMACIONES'!L11</f>
        <v>285429.97519951296</v>
      </c>
      <c r="M8" s="507">
        <f>[4]IEPSGASINCREMENTO!M11+'[4]IEPSGAS ESTIMACIONES'!M11</f>
        <v>292814.85745173017</v>
      </c>
      <c r="N8" s="507">
        <f>[4]IEPSGASINCREMENTO!N11+'[4]IEPSGAS ESTIMACIONES'!N11</f>
        <v>278261.92511201667</v>
      </c>
      <c r="O8" s="508">
        <f t="shared" si="0"/>
        <v>3563598.6568178097</v>
      </c>
      <c r="P8" s="509"/>
    </row>
    <row r="9" spans="1:16" ht="12.75" customHeight="1" x14ac:dyDescent="0.2">
      <c r="A9" s="505" t="s">
        <v>260</v>
      </c>
      <c r="B9" s="517"/>
      <c r="C9" s="507">
        <f>[4]IEPSGASINCREMENTO!C12+'[4]IEPSGAS ESTIMACIONES'!C12</f>
        <v>152123.16341179315</v>
      </c>
      <c r="D9" s="507">
        <f>[4]IEPSGASINCREMENTO!D12+'[4]IEPSGAS ESTIMACIONES'!D12</f>
        <v>153283.91297864259</v>
      </c>
      <c r="E9" s="507">
        <f>[4]IEPSGASINCREMENTO!E12+'[4]IEPSGAS ESTIMACIONES'!E12</f>
        <v>143757.45375581307</v>
      </c>
      <c r="F9" s="507">
        <f>[4]IEPSGASINCREMENTO!F12+'[4]IEPSGAS ESTIMACIONES'!F12</f>
        <v>156579.77771525295</v>
      </c>
      <c r="G9" s="507">
        <f>[4]IEPSGASINCREMENTO!G12+'[4]IEPSGAS ESTIMACIONES'!G12</f>
        <v>152324.80390441854</v>
      </c>
      <c r="H9" s="507">
        <f>[4]IEPSGASINCREMENTO!H12+'[4]IEPSGAS ESTIMACIONES'!H12</f>
        <v>159251.58349912107</v>
      </c>
      <c r="I9" s="507">
        <f>[4]IEPSGASINCREMENTO!I12+'[4]IEPSGAS ESTIMACIONES'!I12</f>
        <v>150758.76267360966</v>
      </c>
      <c r="J9" s="507">
        <f>[4]IEPSGASINCREMENTO!J12+'[4]IEPSGAS ESTIMACIONES'!J12</f>
        <v>153631.28906512342</v>
      </c>
      <c r="K9" s="507">
        <f>[4]IEPSGASINCREMENTO!K12+'[4]IEPSGAS ESTIMACIONES'!K12</f>
        <v>150388.43759153117</v>
      </c>
      <c r="L9" s="507">
        <f>[4]IEPSGASINCREMENTO!L12+'[4]IEPSGAS ESTIMACIONES'!L12</f>
        <v>142976.5195940999</v>
      </c>
      <c r="M9" s="507">
        <f>[4]IEPSGASINCREMENTO!M12+'[4]IEPSGAS ESTIMACIONES'!M12</f>
        <v>147786.86913485371</v>
      </c>
      <c r="N9" s="507">
        <f>[4]IEPSGASINCREMENTO!N12+'[4]IEPSGAS ESTIMACIONES'!N12</f>
        <v>144095.0727897188</v>
      </c>
      <c r="O9" s="508">
        <f t="shared" si="0"/>
        <v>1806957.6461139782</v>
      </c>
      <c r="P9" s="509"/>
    </row>
    <row r="10" spans="1:16" ht="12.75" customHeight="1" x14ac:dyDescent="0.2">
      <c r="A10" s="505" t="s">
        <v>146</v>
      </c>
      <c r="B10" s="517"/>
      <c r="C10" s="507">
        <f>[4]IEPSGASINCREMENTO!C13+'[4]IEPSGAS ESTIMACIONES'!C13</f>
        <v>49732.15358347883</v>
      </c>
      <c r="D10" s="507">
        <f>[4]IEPSGASINCREMENTO!D13+'[4]IEPSGAS ESTIMACIONES'!D13</f>
        <v>50104.955027616947</v>
      </c>
      <c r="E10" s="507">
        <f>[4]IEPSGASINCREMENTO!E13+'[4]IEPSGAS ESTIMACIONES'!E13</f>
        <v>47908.450194461497</v>
      </c>
      <c r="F10" s="507">
        <f>[4]IEPSGASINCREMENTO!F13+'[4]IEPSGAS ESTIMACIONES'!F13</f>
        <v>51499.754998811353</v>
      </c>
      <c r="G10" s="507">
        <f>[4]IEPSGASINCREMENTO!G13+'[4]IEPSGAS ESTIMACIONES'!G13</f>
        <v>50576.639082730719</v>
      </c>
      <c r="H10" s="507">
        <f>[4]IEPSGASINCREMENTO!H13+'[4]IEPSGAS ESTIMACIONES'!H13</f>
        <v>52420.569246103027</v>
      </c>
      <c r="I10" s="507">
        <f>[4]IEPSGASINCREMENTO!I13+'[4]IEPSGAS ESTIMACIONES'!I13</f>
        <v>50090.422339830024</v>
      </c>
      <c r="J10" s="507">
        <f>[4]IEPSGASINCREMENTO!J13+'[4]IEPSGAS ESTIMACIONES'!J13</f>
        <v>50903.168846203276</v>
      </c>
      <c r="K10" s="507">
        <f>[4]IEPSGASINCREMENTO!K13+'[4]IEPSGAS ESTIMACIONES'!K13</f>
        <v>49696.426843734676</v>
      </c>
      <c r="L10" s="507">
        <f>[4]IEPSGASINCREMENTO!L13+'[4]IEPSGAS ESTIMACIONES'!L13</f>
        <v>47764.837330455637</v>
      </c>
      <c r="M10" s="507">
        <f>[4]IEPSGASINCREMENTO!M13+'[4]IEPSGAS ESTIMACIONES'!M13</f>
        <v>48995.010427735906</v>
      </c>
      <c r="N10" s="507">
        <f>[4]IEPSGASINCREMENTO!N13+'[4]IEPSGAS ESTIMACIONES'!N13</f>
        <v>46541.414092921143</v>
      </c>
      <c r="O10" s="508">
        <f t="shared" si="0"/>
        <v>596233.80201408314</v>
      </c>
      <c r="P10" s="509"/>
    </row>
    <row r="11" spans="1:16" ht="12.75" customHeight="1" x14ac:dyDescent="0.2">
      <c r="A11" s="505" t="s">
        <v>147</v>
      </c>
      <c r="B11" s="517"/>
      <c r="C11" s="507">
        <f>[4]IEPSGASINCREMENTO!C14+'[4]IEPSGAS ESTIMACIONES'!C14</f>
        <v>119587.20758981175</v>
      </c>
      <c r="D11" s="507">
        <f>[4]IEPSGASINCREMENTO!D14+'[4]IEPSGAS ESTIMACIONES'!D14</f>
        <v>120478.89904626022</v>
      </c>
      <c r="E11" s="507">
        <f>[4]IEPSGASINCREMENTO!E14+'[4]IEPSGAS ESTIMACIONES'!E14</f>
        <v>115851.56444765819</v>
      </c>
      <c r="F11" s="507">
        <f>[4]IEPSGASINCREMENTO!F14+'[4]IEPSGAS ESTIMACIONES'!F14</f>
        <v>124059.1101903736</v>
      </c>
      <c r="G11" s="507">
        <f>[4]IEPSGASINCREMENTO!G14+'[4]IEPSGAS ESTIMACIONES'!G14</f>
        <v>122172.98127823528</v>
      </c>
      <c r="H11" s="507">
        <f>[4]IEPSGASINCREMENTO!H14+'[4]IEPSGAS ESTIMACIONES'!H14</f>
        <v>126307.08092673833</v>
      </c>
      <c r="I11" s="507">
        <f>[4]IEPSGASINCREMENTO!I14+'[4]IEPSGAS ESTIMACIONES'!I14</f>
        <v>121022.17416028492</v>
      </c>
      <c r="J11" s="507">
        <f>[4]IEPSGASINCREMENTO!J14+'[4]IEPSGAS ESTIMACIONES'!J14</f>
        <v>122886.44660871149</v>
      </c>
      <c r="K11" s="507">
        <f>[4]IEPSGASINCREMENTO!K14+'[4]IEPSGAS ESTIMACIONES'!K14</f>
        <v>119880.16949595929</v>
      </c>
      <c r="L11" s="507">
        <f>[4]IEPSGASINCREMENTO!L14+'[4]IEPSGAS ESTIMACIONES'!L14</f>
        <v>115585.86242473146</v>
      </c>
      <c r="M11" s="507">
        <f>[4]IEPSGASINCREMENTO!M14+'[4]IEPSGAS ESTIMACIONES'!M14</f>
        <v>118299.82343410715</v>
      </c>
      <c r="N11" s="507">
        <f>[4]IEPSGASINCREMENTO!N14+'[4]IEPSGAS ESTIMACIONES'!N14</f>
        <v>111510.98854304329</v>
      </c>
      <c r="O11" s="508">
        <f t="shared" si="0"/>
        <v>1437642.3081459152</v>
      </c>
      <c r="P11" s="509"/>
    </row>
    <row r="12" spans="1:16" ht="12.75" customHeight="1" x14ac:dyDescent="0.2">
      <c r="A12" s="505" t="s">
        <v>148</v>
      </c>
      <c r="B12" s="517"/>
      <c r="C12" s="507">
        <f>[4]IEPSGASINCREMENTO!C15+'[4]IEPSGAS ESTIMACIONES'!C15</f>
        <v>74889.163272332866</v>
      </c>
      <c r="D12" s="507">
        <f>[4]IEPSGASINCREMENTO!D15+'[4]IEPSGAS ESTIMACIONES'!D15</f>
        <v>75448.392320033046</v>
      </c>
      <c r="E12" s="507">
        <f>[4]IEPSGASINCREMENTO!E15+'[4]IEPSGAS ESTIMACIONES'!E15</f>
        <v>72437.15542032673</v>
      </c>
      <c r="F12" s="507">
        <f>[4]IEPSGASINCREMENTO!F15+'[4]IEPSGAS ESTIMACIONES'!F15</f>
        <v>77651.207191460606</v>
      </c>
      <c r="G12" s="507">
        <f>[4]IEPSGASINCREMENTO!G15+'[4]IEPSGAS ESTIMACIONES'!G15</f>
        <v>76412.216667871238</v>
      </c>
      <c r="H12" s="507">
        <f>[4]IEPSGASINCREMENTO!H15+'[4]IEPSGAS ESTIMACIONES'!H15</f>
        <v>79053.102714693508</v>
      </c>
      <c r="I12" s="507">
        <f>[4]IEPSGASINCREMENTO!I15+'[4]IEPSGAS ESTIMACIONES'!I15</f>
        <v>75688.362686004708</v>
      </c>
      <c r="J12" s="507">
        <f>[4]IEPSGASINCREMENTO!J15+'[4]IEPSGAS ESTIMACIONES'!J15</f>
        <v>76871.443816500483</v>
      </c>
      <c r="K12" s="507">
        <f>[4]IEPSGASINCREMENTO!K15+'[4]IEPSGAS ESTIMACIONES'!K15</f>
        <v>75006.940718951941</v>
      </c>
      <c r="L12" s="507">
        <f>[4]IEPSGASINCREMENTO!L15+'[4]IEPSGAS ESTIMACIONES'!L15</f>
        <v>72256.958839315426</v>
      </c>
      <c r="M12" s="507">
        <f>[4]IEPSGASINCREMENTO!M15+'[4]IEPSGAS ESTIMACIONES'!M15</f>
        <v>73998.851071968063</v>
      </c>
      <c r="N12" s="507">
        <f>[4]IEPSGASINCREMENTO!N15+'[4]IEPSGAS ESTIMACIONES'!N15</f>
        <v>69901.574349317292</v>
      </c>
      <c r="O12" s="508">
        <f t="shared" si="0"/>
        <v>899615.36906877602</v>
      </c>
      <c r="P12" s="509"/>
    </row>
    <row r="13" spans="1:16" ht="12.75" customHeight="1" x14ac:dyDescent="0.2">
      <c r="A13" s="505" t="s">
        <v>149</v>
      </c>
      <c r="B13" s="517"/>
      <c r="C13" s="507">
        <f>[4]IEPSGASINCREMENTO!C16+'[4]IEPSGAS ESTIMACIONES'!C16</f>
        <v>56745.24320938866</v>
      </c>
      <c r="D13" s="507">
        <f>[4]IEPSGASINCREMENTO!D16+'[4]IEPSGAS ESTIMACIONES'!D16</f>
        <v>57170.212089921333</v>
      </c>
      <c r="E13" s="507">
        <f>[4]IEPSGASINCREMENTO!E16+'[4]IEPSGAS ESTIMACIONES'!E16</f>
        <v>54719.546446642889</v>
      </c>
      <c r="F13" s="507">
        <f>[4]IEPSGASINCREMENTO!F16+'[4]IEPSGAS ESTIMACIONES'!F16</f>
        <v>58780.91836396898</v>
      </c>
      <c r="G13" s="507">
        <f>[4]IEPSGASINCREMENTO!G16+'[4]IEPSGAS ESTIMACIONES'!G16</f>
        <v>57755.962941433645</v>
      </c>
      <c r="H13" s="507">
        <f>[4]IEPSGASINCREMENTO!H16+'[4]IEPSGAS ESTIMACIONES'!H16</f>
        <v>59834.450419482164</v>
      </c>
      <c r="I13" s="507">
        <f>[4]IEPSGASINCREMENTO!I16+'[4]IEPSGAS ESTIMACIONES'!I16</f>
        <v>57202.740841031067</v>
      </c>
      <c r="J13" s="507">
        <f>[4]IEPSGASINCREMENTO!J16+'[4]IEPSGAS ESTIMACIONES'!J16</f>
        <v>58122.447829746132</v>
      </c>
      <c r="K13" s="507">
        <f>[4]IEPSGASINCREMENTO!K16+'[4]IEPSGAS ESTIMACIONES'!K16</f>
        <v>56736.657569553645</v>
      </c>
      <c r="L13" s="507">
        <f>[4]IEPSGASINCREMENTO!L16+'[4]IEPSGAS ESTIMACIONES'!L16</f>
        <v>54562.445284829759</v>
      </c>
      <c r="M13" s="507">
        <f>[4]IEPSGASINCREMENTO!M16+'[4]IEPSGAS ESTIMACIONES'!M16</f>
        <v>55945.357697587664</v>
      </c>
      <c r="N13" s="507">
        <f>[4]IEPSGASINCREMENTO!N16+'[4]IEPSGAS ESTIMACIONES'!N16</f>
        <v>53070.267788921046</v>
      </c>
      <c r="O13" s="508">
        <f t="shared" si="0"/>
        <v>680646.25048250693</v>
      </c>
      <c r="P13" s="509"/>
    </row>
    <row r="14" spans="1:16" ht="12.75" customHeight="1" x14ac:dyDescent="0.2">
      <c r="A14" s="505" t="s">
        <v>150</v>
      </c>
      <c r="B14" s="517"/>
      <c r="C14" s="507">
        <f>[4]IEPSGASINCREMENTO!C17+'[4]IEPSGAS ESTIMACIONES'!C17</f>
        <v>145752.82676427998</v>
      </c>
      <c r="D14" s="507">
        <f>[4]IEPSGASINCREMENTO!D17+'[4]IEPSGAS ESTIMACIONES'!D17</f>
        <v>146829.48754779249</v>
      </c>
      <c r="E14" s="507">
        <f>[4]IEPSGASINCREMENTO!E17+'[4]IEPSGAS ESTIMACIONES'!E17</f>
        <v>142583.79936821543</v>
      </c>
      <c r="F14" s="507">
        <f>[4]IEPSGASINCREMENTO!F17+'[4]IEPSGAS ESTIMACIONES'!F17</f>
        <v>151674.99034096661</v>
      </c>
      <c r="G14" s="507">
        <f>[4]IEPSGASINCREMENTO!G17+'[4]IEPSGAS ESTIMACIONES'!G17</f>
        <v>150086.86477377423</v>
      </c>
      <c r="H14" s="507">
        <f>[4]IEPSGASINCREMENTO!H17+'[4]IEPSGAS ESTIMACIONES'!H17</f>
        <v>154486.72681937757</v>
      </c>
      <c r="I14" s="507">
        <f>[4]IEPSGASINCREMENTO!I17+'[4]IEPSGAS ESTIMACIONES'!I17</f>
        <v>148723.37722110859</v>
      </c>
      <c r="J14" s="507">
        <f>[4]IEPSGASINCREMENTO!J17+'[4]IEPSGAS ESTIMACIONES'!J17</f>
        <v>150803.66297348967</v>
      </c>
      <c r="K14" s="507">
        <f>[4]IEPSGASINCREMENTO!K17+'[4]IEPSGAS ESTIMACIONES'!K17</f>
        <v>146916.97362572429</v>
      </c>
      <c r="L14" s="507">
        <f>[4]IEPSGASINCREMENTO!L17+'[4]IEPSGAS ESTIMACIONES'!L17</f>
        <v>142429.59919506795</v>
      </c>
      <c r="M14" s="507">
        <f>[4]IEPSGASINCREMENTO!M17+'[4]IEPSGAS ESTIMACIONES'!M17</f>
        <v>145217.28792884928</v>
      </c>
      <c r="N14" s="507">
        <f>[4]IEPSGASINCREMENTO!N17+'[4]IEPSGAS ESTIMACIONES'!N17</f>
        <v>135049.59051396593</v>
      </c>
      <c r="O14" s="508">
        <f t="shared" si="0"/>
        <v>1760555.1870726119</v>
      </c>
      <c r="P14" s="509"/>
    </row>
    <row r="15" spans="1:16" ht="12.75" customHeight="1" x14ac:dyDescent="0.2">
      <c r="A15" s="505" t="s">
        <v>151</v>
      </c>
      <c r="B15" s="517"/>
      <c r="C15" s="507">
        <f>[4]IEPSGASINCREMENTO!C18+'[4]IEPSGAS ESTIMACIONES'!C18</f>
        <v>98523.675122028711</v>
      </c>
      <c r="D15" s="507">
        <f>[4]IEPSGASINCREMENTO!D18+'[4]IEPSGAS ESTIMACIONES'!D18</f>
        <v>99260.947188703372</v>
      </c>
      <c r="E15" s="507">
        <f>[4]IEPSGASINCREMENTO!E18+'[4]IEPSGAS ESTIMACIONES'!E18</f>
        <v>95085.552011219406</v>
      </c>
      <c r="F15" s="507">
        <f>[4]IEPSGASINCREMENTO!F18+'[4]IEPSGAS ESTIMACIONES'!F18</f>
        <v>102085.03345488779</v>
      </c>
      <c r="G15" s="507">
        <f>[4]IEPSGASINCREMENTO!G18+'[4]IEPSGAS ESTIMACIONES'!G18</f>
        <v>100346.01838283156</v>
      </c>
      <c r="H15" s="507">
        <f>[4]IEPSGASINCREMENTO!H18+'[4]IEPSGAS ESTIMACIONES'!H18</f>
        <v>103918.32776493867</v>
      </c>
      <c r="I15" s="507">
        <f>[4]IEPSGASINCREMENTO!I18+'[4]IEPSGAS ESTIMACIONES'!I18</f>
        <v>99387.721322026831</v>
      </c>
      <c r="J15" s="507">
        <f>[4]IEPSGASINCREMENTO!J18+'[4]IEPSGAS ESTIMACIONES'!J18</f>
        <v>100973.60732078303</v>
      </c>
      <c r="K15" s="507">
        <f>[4]IEPSGASINCREMENTO!K18+'[4]IEPSGAS ESTIMACIONES'!K18</f>
        <v>98554.828998593046</v>
      </c>
      <c r="L15" s="507">
        <f>[4]IEPSGASINCREMENTO!L18+'[4]IEPSGAS ESTIMACIONES'!L18</f>
        <v>94822.467087724421</v>
      </c>
      <c r="M15" s="507">
        <f>[4]IEPSGASINCREMENTO!M18+'[4]IEPSGAS ESTIMACIONES'!M18</f>
        <v>97193.861105965989</v>
      </c>
      <c r="N15" s="507">
        <f>[4]IEPSGASINCREMENTO!N18+'[4]IEPSGAS ESTIMACIONES'!N18</f>
        <v>92093.938085297297</v>
      </c>
      <c r="O15" s="508">
        <f t="shared" si="0"/>
        <v>1182245.9778450001</v>
      </c>
      <c r="P15" s="509"/>
    </row>
    <row r="16" spans="1:16" ht="12.75" customHeight="1" x14ac:dyDescent="0.2">
      <c r="A16" s="505" t="s">
        <v>152</v>
      </c>
      <c r="B16" s="517"/>
      <c r="C16" s="507">
        <f>[4]IEPSGASINCREMENTO!C19+'[4]IEPSGAS ESTIMACIONES'!C19</f>
        <v>175769.49091383175</v>
      </c>
      <c r="D16" s="507">
        <f>[4]IEPSGASINCREMENTO!D19+'[4]IEPSGAS ESTIMACIONES'!D19</f>
        <v>177083.96048798432</v>
      </c>
      <c r="E16" s="507">
        <f>[4]IEPSGASINCREMENTO!E19+'[4]IEPSGAS ESTIMACIONES'!E19</f>
        <v>169751.61420175934</v>
      </c>
      <c r="F16" s="507">
        <f>[4]IEPSGASINCREMENTO!F19+'[4]IEPSGAS ESTIMACIONES'!F19</f>
        <v>182162.56580597573</v>
      </c>
      <c r="G16" s="507">
        <f>[4]IEPSGASINCREMENTO!G19+'[4]IEPSGAS ESTIMACIONES'!G19</f>
        <v>179119.59513485848</v>
      </c>
      <c r="H16" s="507">
        <f>[4]IEPSGASINCREMENTO!H19+'[4]IEPSGAS ESTIMACIONES'!H19</f>
        <v>185439.24287550888</v>
      </c>
      <c r="I16" s="507">
        <f>[4]IEPSGASINCREMENTO!I19+'[4]IEPSGAS ESTIMACIONES'!I19</f>
        <v>177413.23577857245</v>
      </c>
      <c r="J16" s="507">
        <f>[4]IEPSGASINCREMENTO!J19+'[4]IEPSGAS ESTIMACIONES'!J19</f>
        <v>180226.44633056334</v>
      </c>
      <c r="K16" s="507">
        <f>[4]IEPSGASINCREMENTO!K19+'[4]IEPSGAS ESTIMACIONES'!K19</f>
        <v>175892.62930066464</v>
      </c>
      <c r="L16" s="507">
        <f>[4]IEPSGASINCREMENTO!L19+'[4]IEPSGAS ESTIMACIONES'!L19</f>
        <v>169296.46187523025</v>
      </c>
      <c r="M16" s="507">
        <f>[4]IEPSGASINCREMENTO!M19+'[4]IEPSGAS ESTIMACIONES'!M19</f>
        <v>173483.57222442765</v>
      </c>
      <c r="N16" s="507">
        <f>[4]IEPSGASINCREMENTO!N19+'[4]IEPSGAS ESTIMACIONES'!N19</f>
        <v>164226.64407634322</v>
      </c>
      <c r="O16" s="508">
        <f t="shared" si="0"/>
        <v>2109865.4590057204</v>
      </c>
      <c r="P16" s="509"/>
    </row>
    <row r="17" spans="1:17" ht="12.75" customHeight="1" x14ac:dyDescent="0.2">
      <c r="A17" s="505" t="s">
        <v>261</v>
      </c>
      <c r="B17" s="517"/>
      <c r="C17" s="507">
        <f>[4]IEPSGASINCREMENTO!C20+'[4]IEPSGAS ESTIMACIONES'!C20</f>
        <v>32244.572900163199</v>
      </c>
      <c r="D17" s="507">
        <f>[4]IEPSGASINCREMENTO!D20+'[4]IEPSGAS ESTIMACIONES'!D20</f>
        <v>32482.755758432409</v>
      </c>
      <c r="E17" s="507">
        <f>[4]IEPSGASINCREMENTO!E20+'[4]IEPSGAS ESTIMACIONES'!E20</f>
        <v>31544.097903691505</v>
      </c>
      <c r="F17" s="507">
        <f>[4]IEPSGASINCREMENTO!F20+'[4]IEPSGAS ESTIMACIONES'!F20</f>
        <v>33554.925127905692</v>
      </c>
      <c r="G17" s="507">
        <f>[4]IEPSGASINCREMENTO!G20+'[4]IEPSGAS ESTIMACIONES'!G20</f>
        <v>33203.896716739029</v>
      </c>
      <c r="H17" s="507">
        <f>[4]IEPSGASINCREMENTO!H20+'[4]IEPSGAS ESTIMACIONES'!H20</f>
        <v>34176.990593056005</v>
      </c>
      <c r="I17" s="507">
        <f>[4]IEPSGASINCREMENTO!I20+'[4]IEPSGAS ESTIMACIONES'!I20</f>
        <v>32902.272416213636</v>
      </c>
      <c r="J17" s="507">
        <f>[4]IEPSGASINCREMENTO!J20+'[4]IEPSGAS ESTIMACIONES'!J20</f>
        <v>33362.405945649196</v>
      </c>
      <c r="K17" s="507">
        <f>[4]IEPSGASINCREMENTO!K20+'[4]IEPSGAS ESTIMACIONES'!K20</f>
        <v>32502.465503916759</v>
      </c>
      <c r="L17" s="507">
        <f>[4]IEPSGASINCREMENTO!L20+'[4]IEPSGAS ESTIMACIONES'!L20</f>
        <v>31510.058315899114</v>
      </c>
      <c r="M17" s="507">
        <f>[4]IEPSGASINCREMENTO!M20+'[4]IEPSGAS ESTIMACIONES'!M20</f>
        <v>32126.546301778541</v>
      </c>
      <c r="N17" s="507">
        <f>[4]IEPSGASINCREMENTO!N20+'[4]IEPSGAS ESTIMACIONES'!N20</f>
        <v>29876.345831047904</v>
      </c>
      <c r="O17" s="508">
        <f t="shared" si="0"/>
        <v>389487.33331449301</v>
      </c>
      <c r="P17" s="509"/>
    </row>
    <row r="18" spans="1:17" ht="12.75" customHeight="1" x14ac:dyDescent="0.2">
      <c r="A18" s="505" t="s">
        <v>262</v>
      </c>
      <c r="B18" s="517"/>
      <c r="C18" s="507">
        <f>[4]IEPSGASINCREMENTO!C21+'[4]IEPSGAS ESTIMACIONES'!C21</f>
        <v>98925.538994396033</v>
      </c>
      <c r="D18" s="507">
        <f>[4]IEPSGASINCREMENTO!D21+'[4]IEPSGAS ESTIMACIONES'!D21</f>
        <v>99658.720048617077</v>
      </c>
      <c r="E18" s="507">
        <f>[4]IEPSGASINCREMENTO!E21+'[4]IEPSGAS ESTIMACIONES'!E21</f>
        <v>96442.941674501766</v>
      </c>
      <c r="F18" s="507">
        <f>[4]IEPSGASINCREMENTO!F21+'[4]IEPSGAS ESTIMACIONES'!F21</f>
        <v>102831.95332735998</v>
      </c>
      <c r="G18" s="507">
        <f>[4]IEPSGASINCREMENTO!G21+'[4]IEPSGAS ESTIMACIONES'!G21</f>
        <v>101583.72092546223</v>
      </c>
      <c r="H18" s="507">
        <f>[4]IEPSGASINCREMENTO!H21+'[4]IEPSGAS ESTIMACIONES'!H21</f>
        <v>104723.10295359092</v>
      </c>
      <c r="I18" s="507">
        <f>[4]IEPSGASINCREMENTO!I21+'[4]IEPSGAS ESTIMACIONES'!I21</f>
        <v>100648.91773019769</v>
      </c>
      <c r="J18" s="507">
        <f>[4]IEPSGASINCREMENTO!J21+'[4]IEPSGAS ESTIMACIONES'!J21</f>
        <v>102106.84377843895</v>
      </c>
      <c r="K18" s="507">
        <f>[4]IEPSGASINCREMENTO!K21+'[4]IEPSGAS ESTIMACIONES'!K21</f>
        <v>99522.227708551873</v>
      </c>
      <c r="L18" s="507">
        <f>[4]IEPSGASINCREMENTO!L21+'[4]IEPSGAS ESTIMACIONES'!L21</f>
        <v>96297.623998612922</v>
      </c>
      <c r="M18" s="507">
        <f>[4]IEPSGASINCREMENTO!M21+'[4]IEPSGAS ESTIMACIONES'!M21</f>
        <v>98314.341869316195</v>
      </c>
      <c r="N18" s="507">
        <f>[4]IEPSGASINCREMENTO!N21+'[4]IEPSGAS ESTIMACIONES'!N21</f>
        <v>91867.137136711375</v>
      </c>
      <c r="O18" s="508">
        <f t="shared" si="0"/>
        <v>1192923.0701457569</v>
      </c>
      <c r="P18" s="509"/>
    </row>
    <row r="19" spans="1:17" ht="12.75" customHeight="1" x14ac:dyDescent="0.2">
      <c r="A19" s="505" t="s">
        <v>263</v>
      </c>
      <c r="B19" s="517"/>
      <c r="C19" s="507">
        <f>[4]IEPSGASINCREMENTO!C22+'[4]IEPSGAS ESTIMACIONES'!C22</f>
        <v>393755.89238314558</v>
      </c>
      <c r="D19" s="507">
        <f>[4]IEPSGASINCREMENTO!D22+'[4]IEPSGAS ESTIMACIONES'!D22</f>
        <v>396696.90504874708</v>
      </c>
      <c r="E19" s="507">
        <f>[4]IEPSGASINCREMENTO!E22+'[4]IEPSGAS ESTIMACIONES'!E22</f>
        <v>380771.96433006652</v>
      </c>
      <c r="F19" s="507">
        <f>[4]IEPSGASINCREMENTO!F22+'[4]IEPSGAS ESTIMACIONES'!F22</f>
        <v>408247.05988672789</v>
      </c>
      <c r="G19" s="507">
        <f>[4]IEPSGASINCREMENTO!G22+'[4]IEPSGAS ESTIMACIONES'!G22</f>
        <v>401685.57597452489</v>
      </c>
      <c r="H19" s="507">
        <f>[4]IEPSGASINCREMENTO!H22+'[4]IEPSGAS ESTIMACIONES'!H22</f>
        <v>415613.25280932849</v>
      </c>
      <c r="I19" s="507">
        <f>[4]IEPSGASINCREMENTO!I22+'[4]IEPSGAS ESTIMACIONES'!I22</f>
        <v>397877.0711397655</v>
      </c>
      <c r="J19" s="507">
        <f>[4]IEPSGASINCREMENTO!J22+'[4]IEPSGAS ESTIMACIONES'!J22</f>
        <v>404110.23893257522</v>
      </c>
      <c r="K19" s="507">
        <f>[4]IEPSGASINCREMENTO!K22+'[4]IEPSGAS ESTIMACIONES'!K22</f>
        <v>394321.70612110081</v>
      </c>
      <c r="L19" s="507">
        <f>[4]IEPSGASINCREMENTO!L22+'[4]IEPSGAS ESTIMACIONES'!L22</f>
        <v>379813.28519331524</v>
      </c>
      <c r="M19" s="507">
        <f>[4]IEPSGASINCREMENTO!M22+'[4]IEPSGAS ESTIMACIONES'!M22</f>
        <v>389006.32925429335</v>
      </c>
      <c r="N19" s="507">
        <f>[4]IEPSGASINCREMENTO!N22+'[4]IEPSGAS ESTIMACIONES'!N22</f>
        <v>367588.84670672065</v>
      </c>
      <c r="O19" s="508">
        <f t="shared" si="0"/>
        <v>4729488.1277803117</v>
      </c>
      <c r="P19" s="509"/>
    </row>
    <row r="20" spans="1:17" ht="12.75" customHeight="1" x14ac:dyDescent="0.2">
      <c r="A20" s="505" t="s">
        <v>156</v>
      </c>
      <c r="B20" s="517"/>
      <c r="C20" s="507">
        <f>[4]IEPSGASINCREMENTO!C23+'[4]IEPSGAS ESTIMACIONES'!C23</f>
        <v>169225.698249257</v>
      </c>
      <c r="D20" s="507">
        <f>[4]IEPSGASINCREMENTO!D23+'[4]IEPSGAS ESTIMACIONES'!D23</f>
        <v>170477.60653589905</v>
      </c>
      <c r="E20" s="507">
        <f>[4]IEPSGASINCREMENTO!E23+'[4]IEPSGAS ESTIMACIONES'!E23</f>
        <v>165292.81853737676</v>
      </c>
      <c r="F20" s="507">
        <f>[4]IEPSGASINCREMENTO!F23+'[4]IEPSGAS ESTIMACIONES'!F23</f>
        <v>176015.18223143648</v>
      </c>
      <c r="G20" s="507">
        <f>[4]IEPSGASINCREMENTO!G23+'[4]IEPSGAS ESTIMACIONES'!G23</f>
        <v>174041.12346011598</v>
      </c>
      <c r="H20" s="507">
        <f>[4]IEPSGASINCREMENTO!H23+'[4]IEPSGAS ESTIMACIONES'!H23</f>
        <v>179266.56539447288</v>
      </c>
      <c r="I20" s="507">
        <f>[4]IEPSGASINCREMENTO!I23+'[4]IEPSGAS ESTIMACIONES'!I23</f>
        <v>172450.88748462795</v>
      </c>
      <c r="J20" s="507">
        <f>[4]IEPSGASINCREMENTO!J23+'[4]IEPSGAS ESTIMACIONES'!J23</f>
        <v>174901.341465773</v>
      </c>
      <c r="K20" s="507">
        <f>[4]IEPSGASINCREMENTO!K23+'[4]IEPSGAS ESTIMACIONES'!K23</f>
        <v>170429.49706647469</v>
      </c>
      <c r="L20" s="507">
        <f>[4]IEPSGASINCREMENTO!L23+'[4]IEPSGAS ESTIMACIONES'!L23</f>
        <v>165082.71363244698</v>
      </c>
      <c r="M20" s="507">
        <f>[4]IEPSGASINCREMENTO!M23+'[4]IEPSGAS ESTIMACIONES'!M23</f>
        <v>168414.60870855919</v>
      </c>
      <c r="N20" s="507">
        <f>[4]IEPSGASINCREMENTO!N23+'[4]IEPSGAS ESTIMACIONES'!N23</f>
        <v>156956.26233550004</v>
      </c>
      <c r="O20" s="508">
        <f t="shared" si="0"/>
        <v>2042554.3051019402</v>
      </c>
      <c r="P20" s="509"/>
    </row>
    <row r="21" spans="1:17" ht="12.75" customHeight="1" x14ac:dyDescent="0.2">
      <c r="A21" s="505" t="s">
        <v>157</v>
      </c>
      <c r="B21" s="519"/>
      <c r="C21" s="507">
        <f>[4]IEPSGASINCREMENTO!C24+'[4]IEPSGAS ESTIMACIONES'!C24</f>
        <v>1601666.9082936733</v>
      </c>
      <c r="D21" s="507">
        <f>[4]IEPSGASINCREMENTO!D24+'[4]IEPSGAS ESTIMACIONES'!D24</f>
        <v>1613711.5359917465</v>
      </c>
      <c r="E21" s="507">
        <f>[4]IEPSGASINCREMENTO!E24+'[4]IEPSGAS ESTIMACIONES'!E24</f>
        <v>1537710.3634869189</v>
      </c>
      <c r="F21" s="507">
        <f>[4]IEPSGASINCREMENTO!F24+'[4]IEPSGAS ESTIMACIONES'!F24</f>
        <v>1656813.5953335939</v>
      </c>
      <c r="G21" s="507">
        <f>[4]IEPSGASINCREMENTO!G24+'[4]IEPSGAS ESTIMACIONES'!G24</f>
        <v>1624401.9778432944</v>
      </c>
      <c r="H21" s="507">
        <f>[4]IEPSGASINCREMENTO!H24+'[4]IEPSGAS ESTIMACIONES'!H24</f>
        <v>1686197.8471734927</v>
      </c>
      <c r="I21" s="507">
        <f>[4]IEPSGASINCREMENTO!I24+'[4]IEPSGAS ESTIMACIONES'!I24</f>
        <v>1608595.3404142766</v>
      </c>
      <c r="J21" s="507">
        <f>[4]IEPSGASINCREMENTO!J24+'[4]IEPSGAS ESTIMACIONES'!J24</f>
        <v>1635494.6596498573</v>
      </c>
      <c r="K21" s="507">
        <f>[4]IEPSGASINCREMENTO!K24+'[4]IEPSGAS ESTIMACIONES'!K24</f>
        <v>1597470.6553665572</v>
      </c>
      <c r="L21" s="507">
        <f>[4]IEPSGASINCREMENTO!L24+'[4]IEPSGAS ESTIMACIONES'!L24</f>
        <v>1532445.0384038694</v>
      </c>
      <c r="M21" s="507">
        <f>[4]IEPSGASINCREMENTO!M24+'[4]IEPSGAS ESTIMACIONES'!M24</f>
        <v>1574026.4359983567</v>
      </c>
      <c r="N21" s="507">
        <f>[4]IEPSGASINCREMENTO!N24+'[4]IEPSGAS ESTIMACIONES'!N24</f>
        <v>1502151.5056712769</v>
      </c>
      <c r="O21" s="508">
        <f t="shared" si="0"/>
        <v>19170685.863626912</v>
      </c>
      <c r="P21" s="509"/>
      <c r="Q21" s="509"/>
    </row>
    <row r="22" spans="1:17" ht="12.75" customHeight="1" x14ac:dyDescent="0.2">
      <c r="A22" s="505" t="s">
        <v>158</v>
      </c>
      <c r="B22" s="519"/>
      <c r="C22" s="507">
        <f>[4]IEPSGASINCREMENTO!C25+'[4]IEPSGAS ESTIMACIONES'!C25</f>
        <v>129733.05102227838</v>
      </c>
      <c r="D22" s="507">
        <f>[4]IEPSGASINCREMENTO!D25+'[4]IEPSGAS ESTIMACIONES'!D25</f>
        <v>130693.40099678151</v>
      </c>
      <c r="E22" s="507">
        <f>[4]IEPSGASINCREMENTO!E25+'[4]IEPSGAS ESTIMACIONES'!E25</f>
        <v>126635.65795584465</v>
      </c>
      <c r="F22" s="507">
        <f>[4]IEPSGASINCREMENTO!F25+'[4]IEPSGAS ESTIMACIONES'!F25</f>
        <v>134909.9846963693</v>
      </c>
      <c r="G22" s="507">
        <f>[4]IEPSGASINCREMENTO!G25+'[4]IEPSGAS ESTIMACIONES'!G25</f>
        <v>133354.33466609681</v>
      </c>
      <c r="H22" s="507">
        <f>[4]IEPSGASINCREMENTO!H25+'[4]IEPSGAS ESTIMACIONES'!H25</f>
        <v>137398.30564011377</v>
      </c>
      <c r="I22" s="507">
        <f>[4]IEPSGASINCREMENTO!I25+'[4]IEPSGAS ESTIMACIONES'!I25</f>
        <v>132132.88905921826</v>
      </c>
      <c r="J22" s="507">
        <f>[4]IEPSGASINCREMENTO!J25+'[4]IEPSGAS ESTIMACIONES'!J25</f>
        <v>134022.89060229436</v>
      </c>
      <c r="K22" s="507">
        <f>[4]IEPSGASINCREMENTO!K25+'[4]IEPSGAS ESTIMACIONES'!K25</f>
        <v>130607.89837134602</v>
      </c>
      <c r="L22" s="507">
        <f>[4]IEPSGASINCREMENTO!L25+'[4]IEPSGAS ESTIMACIONES'!L25</f>
        <v>126464.49316368713</v>
      </c>
      <c r="M22" s="507">
        <f>[4]IEPSGASINCREMENTO!M25+'[4]IEPSGAS ESTIMACIONES'!M25</f>
        <v>129049.75774845442</v>
      </c>
      <c r="N22" s="507">
        <f>[4]IEPSGASINCREMENTO!N25+'[4]IEPSGAS ESTIMACIONES'!N25</f>
        <v>120378.12836981633</v>
      </c>
      <c r="O22" s="508">
        <f t="shared" si="0"/>
        <v>1565380.7922923011</v>
      </c>
      <c r="P22" s="509"/>
      <c r="Q22" s="509"/>
    </row>
    <row r="23" spans="1:17" ht="12.75" customHeight="1" thickBot="1" x14ac:dyDescent="0.25">
      <c r="A23" s="505" t="s">
        <v>159</v>
      </c>
      <c r="B23" s="518"/>
      <c r="C23" s="507">
        <f>[4]IEPSGASINCREMENTO!C26+'[4]IEPSGAS ESTIMACIONES'!C26</f>
        <v>210541.61277504975</v>
      </c>
      <c r="D23" s="507">
        <f>[4]IEPSGASINCREMENTO!D26+'[4]IEPSGAS ESTIMACIONES'!D26</f>
        <v>212140.72881083639</v>
      </c>
      <c r="E23" s="507">
        <f>[4]IEPSGASINCREMENTO!E26+'[4]IEPSGAS ESTIMACIONES'!E26</f>
        <v>199972.07473718171</v>
      </c>
      <c r="F23" s="507">
        <f>[4]IEPSGASINCREMENTO!F26+'[4]IEPSGAS ESTIMACIONES'!F26</f>
        <v>217053.56243615621</v>
      </c>
      <c r="G23" s="507">
        <f>[4]IEPSGASINCREMENTO!G26+'[4]IEPSGAS ESTIMACIONES'!G26</f>
        <v>211682.61048789503</v>
      </c>
      <c r="H23" s="507">
        <f>[4]IEPSGASINCREMENTO!H26+'[4]IEPSGAS ESTIMACIONES'!H26</f>
        <v>220803.81290880707</v>
      </c>
      <c r="I23" s="507">
        <f>[4]IEPSGASINCREMENTO!I26+'[4]IEPSGAS ESTIMACIONES'!I26</f>
        <v>209543.68828706257</v>
      </c>
      <c r="J23" s="507">
        <f>[4]IEPSGASINCREMENTO!J26+'[4]IEPSGAS ESTIMACIONES'!J26</f>
        <v>213379.4568178448</v>
      </c>
      <c r="K23" s="507">
        <f>[4]IEPSGASINCREMENTO!K26+'[4]IEPSGAS ESTIMACIONES'!K26</f>
        <v>208729.00056958129</v>
      </c>
      <c r="L23" s="507">
        <f>[4]IEPSGASINCREMENTO!L26+'[4]IEPSGAS ESTIMACIONES'!L26</f>
        <v>199014.89430526807</v>
      </c>
      <c r="M23" s="507">
        <f>[4]IEPSGASINCREMENTO!M26+'[4]IEPSGAS ESTIMACIONES'!M26</f>
        <v>205293.42746177263</v>
      </c>
      <c r="N23" s="507">
        <f>[4]IEPSGASINCREMENTO!N26+'[4]IEPSGAS ESTIMACIONES'!N26</f>
        <v>198803.75519895245</v>
      </c>
      <c r="O23" s="508">
        <f t="shared" si="0"/>
        <v>2506958.6247964082</v>
      </c>
      <c r="P23" s="509"/>
    </row>
    <row r="24" spans="1:17" ht="13.5" thickBot="1" x14ac:dyDescent="0.25">
      <c r="A24" s="510" t="s">
        <v>264</v>
      </c>
      <c r="B24" s="511">
        <f t="shared" ref="B24:O24" si="1">SUM(B4:B23)</f>
        <v>0</v>
      </c>
      <c r="C24" s="512">
        <f t="shared" si="1"/>
        <v>4539603.375</v>
      </c>
      <c r="D24" s="512">
        <f t="shared" si="1"/>
        <v>4573786.95</v>
      </c>
      <c r="E24" s="512">
        <f t="shared" si="1"/>
        <v>4352117.1749999998</v>
      </c>
      <c r="F24" s="512">
        <f t="shared" si="1"/>
        <v>4693787.0999999996</v>
      </c>
      <c r="G24" s="512">
        <f t="shared" si="1"/>
        <v>4598731.8000000007</v>
      </c>
      <c r="H24" s="512">
        <f t="shared" si="1"/>
        <v>4776747.9749999996</v>
      </c>
      <c r="I24" s="512">
        <f t="shared" si="1"/>
        <v>4553755.4249999998</v>
      </c>
      <c r="J24" s="512">
        <f t="shared" si="1"/>
        <v>4630857.75</v>
      </c>
      <c r="K24" s="512">
        <f t="shared" si="1"/>
        <v>4524086.0249999994</v>
      </c>
      <c r="L24" s="512">
        <f t="shared" si="1"/>
        <v>4336431.9750000015</v>
      </c>
      <c r="M24" s="512">
        <f t="shared" si="1"/>
        <v>4456621.3499999996</v>
      </c>
      <c r="N24" s="512">
        <f t="shared" si="1"/>
        <v>4261408.2</v>
      </c>
      <c r="O24" s="512">
        <f t="shared" si="1"/>
        <v>54297935.100000001</v>
      </c>
    </row>
    <row r="25" spans="1:17" x14ac:dyDescent="0.2">
      <c r="A25" s="513"/>
      <c r="B25" s="513"/>
      <c r="C25" s="513"/>
      <c r="D25" s="513"/>
      <c r="E25" s="513"/>
      <c r="F25" s="513"/>
      <c r="G25" s="513"/>
      <c r="H25" s="513"/>
      <c r="I25" s="513"/>
      <c r="J25" s="513"/>
      <c r="K25" s="513"/>
      <c r="L25" s="513"/>
      <c r="M25" s="513"/>
      <c r="N25" s="513"/>
      <c r="O25" s="520"/>
    </row>
    <row r="26" spans="1:17" x14ac:dyDescent="0.2">
      <c r="A26" s="514" t="s">
        <v>265</v>
      </c>
    </row>
  </sheetData>
  <mergeCells count="1">
    <mergeCell ref="A1:O1"/>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7030A0"/>
  </sheetPr>
  <dimension ref="A1:P26"/>
  <sheetViews>
    <sheetView workbookViewId="0">
      <selection activeCell="D8" sqref="D8"/>
    </sheetView>
  </sheetViews>
  <sheetFormatPr baseColWidth="10" defaultRowHeight="12.75" x14ac:dyDescent="0.2"/>
  <cols>
    <col min="1" max="1" width="15.42578125" style="500" customWidth="1"/>
    <col min="2" max="4" width="7.85546875" style="500" customWidth="1"/>
    <col min="5" max="5" width="8.7109375" style="500" bestFit="1" customWidth="1"/>
    <col min="6" max="9" width="7.85546875" style="500" customWidth="1"/>
    <col min="10" max="10" width="9.42578125" style="500" customWidth="1"/>
    <col min="11" max="11" width="7.85546875" style="500" customWidth="1"/>
    <col min="12" max="12" width="9.140625" style="500" customWidth="1"/>
    <col min="13" max="13" width="8.5703125" style="500" customWidth="1"/>
    <col min="14" max="14" width="8.7109375" style="500" bestFit="1" customWidth="1"/>
    <col min="15" max="16384" width="11.42578125" style="500"/>
  </cols>
  <sheetData>
    <row r="1" spans="1:16" x14ac:dyDescent="0.2">
      <c r="A1" s="1193" t="s">
        <v>323</v>
      </c>
      <c r="B1" s="1193"/>
      <c r="C1" s="1193"/>
      <c r="D1" s="1193"/>
      <c r="E1" s="1193"/>
      <c r="F1" s="1193"/>
      <c r="G1" s="1193"/>
      <c r="H1" s="1193"/>
      <c r="I1" s="1193"/>
      <c r="J1" s="1193"/>
      <c r="K1" s="1193"/>
      <c r="L1" s="1193"/>
      <c r="M1" s="1193"/>
      <c r="N1" s="1193"/>
    </row>
    <row r="2" spans="1:16" ht="13.5" thickBot="1" x14ac:dyDescent="0.25"/>
    <row r="3" spans="1:16" ht="23.25" thickBot="1" x14ac:dyDescent="0.25">
      <c r="A3" s="501" t="s">
        <v>286</v>
      </c>
      <c r="B3" s="501" t="s">
        <v>1</v>
      </c>
      <c r="C3" s="503" t="s">
        <v>2</v>
      </c>
      <c r="D3" s="501" t="s">
        <v>3</v>
      </c>
      <c r="E3" s="503" t="s">
        <v>4</v>
      </c>
      <c r="F3" s="501" t="s">
        <v>5</v>
      </c>
      <c r="G3" s="501" t="s">
        <v>6</v>
      </c>
      <c r="H3" s="501" t="s">
        <v>7</v>
      </c>
      <c r="I3" s="503" t="s">
        <v>8</v>
      </c>
      <c r="J3" s="501" t="s">
        <v>9</v>
      </c>
      <c r="K3" s="503" t="s">
        <v>10</v>
      </c>
      <c r="L3" s="501" t="s">
        <v>11</v>
      </c>
      <c r="M3" s="501" t="s">
        <v>12</v>
      </c>
      <c r="N3" s="504" t="s">
        <v>160</v>
      </c>
    </row>
    <row r="4" spans="1:16" ht="12.75" customHeight="1" x14ac:dyDescent="0.2">
      <c r="A4" s="505" t="s">
        <v>258</v>
      </c>
      <c r="B4" s="507">
        <f>'[4]FOFIR  INCREMENTO'!C7+'[4]FFOR ESTIMACIONES'!C7</f>
        <v>166059.80182410308</v>
      </c>
      <c r="C4" s="507">
        <f>'[4]FOFIR  INCREMENTO'!D7+'[4]FFOR ESTIMACIONES'!D7</f>
        <v>121496.18625403017</v>
      </c>
      <c r="D4" s="507">
        <f>'[4]FOFIR  INCREMENTO'!E7+'[4]FFOR ESTIMACIONES'!E7</f>
        <v>121496.18625403017</v>
      </c>
      <c r="E4" s="507">
        <f>'[4]FOFIR  INCREMENTO'!F7+'[4]FFOR ESTIMACIONES'!F7</f>
        <v>199748.46075717272</v>
      </c>
      <c r="F4" s="507">
        <f>'[4]FOFIR  INCREMENTO'!G7+'[4]FFOR ESTIMACIONES'!G7</f>
        <v>121496.18625403017</v>
      </c>
      <c r="G4" s="507">
        <f>'[4]FOFIR  INCREMENTO'!H7+'[4]FFOR ESTIMACIONES'!H7</f>
        <v>121496.18625403017</v>
      </c>
      <c r="H4" s="507">
        <f>'[4]FOFIR  INCREMENTO'!I7+'[4]FFOR ESTIMACIONES'!I7</f>
        <v>167908.37469649853</v>
      </c>
      <c r="I4" s="507">
        <f>'[4]FOFIR  INCREMENTO'!J7+'[4]FFOR ESTIMACIONES'!J7</f>
        <v>121496.18625403018</v>
      </c>
      <c r="J4" s="507">
        <f>'[4]FOFIR  INCREMENTO'!K7+'[4]FFOR ESTIMACIONES'!K7</f>
        <v>121496.18625403018</v>
      </c>
      <c r="K4" s="507">
        <f>'[4]FOFIR  INCREMENTO'!L7+'[4]FFOR ESTIMACIONES'!L7</f>
        <v>173140.32783569855</v>
      </c>
      <c r="L4" s="507">
        <f>'[4]FOFIR  INCREMENTO'!M7+'[4]FFOR ESTIMACIONES'!M7</f>
        <v>121496.18625403021</v>
      </c>
      <c r="M4" s="507">
        <f>'[4]FOFIR  INCREMENTO'!N7+'[4]FFOR ESTIMACIONES'!N7</f>
        <v>121496.18625403021</v>
      </c>
      <c r="N4" s="508">
        <f t="shared" ref="N4:N24" si="0">SUM(B4:M4)</f>
        <v>1678826.4551457143</v>
      </c>
      <c r="P4" s="509"/>
    </row>
    <row r="5" spans="1:16" ht="12.75" customHeight="1" x14ac:dyDescent="0.2">
      <c r="A5" s="505" t="s">
        <v>141</v>
      </c>
      <c r="B5" s="507">
        <f>'[4]FOFIR  INCREMENTO'!C8+'[4]FFOR ESTIMACIONES'!C8</f>
        <v>65896.245453383191</v>
      </c>
      <c r="C5" s="507">
        <f>'[4]FOFIR  INCREMENTO'!D8+'[4]FFOR ESTIMACIONES'!D8</f>
        <v>49383.291033517453</v>
      </c>
      <c r="D5" s="507">
        <f>'[4]FOFIR  INCREMENTO'!E8+'[4]FFOR ESTIMACIONES'!E8</f>
        <v>49383.291033517453</v>
      </c>
      <c r="E5" s="507">
        <f>'[4]FOFIR  INCREMENTO'!F8+'[4]FFOR ESTIMACIONES'!F8</f>
        <v>78622.072446546939</v>
      </c>
      <c r="F5" s="507">
        <f>'[4]FOFIR  INCREMENTO'!G8+'[4]FFOR ESTIMACIONES'!G8</f>
        <v>49383.291033517453</v>
      </c>
      <c r="G5" s="507">
        <f>'[4]FOFIR  INCREMENTO'!H8+'[4]FFOR ESTIMACIONES'!H8</f>
        <v>49383.291033517453</v>
      </c>
      <c r="H5" s="507">
        <f>'[4]FOFIR  INCREMENTO'!I8+'[4]FFOR ESTIMACIONES'!I8</f>
        <v>66095.724649424024</v>
      </c>
      <c r="I5" s="507">
        <f>'[4]FOFIR  INCREMENTO'!J8+'[4]FFOR ESTIMACIONES'!J8</f>
        <v>49383.29103351746</v>
      </c>
      <c r="J5" s="507">
        <f>'[4]FOFIR  INCREMENTO'!K8+'[4]FFOR ESTIMACIONES'!K8</f>
        <v>49383.29103351746</v>
      </c>
      <c r="K5" s="507">
        <f>'[4]FOFIR  INCREMENTO'!L8+'[4]FFOR ESTIMACIONES'!L8</f>
        <v>68436.559581981463</v>
      </c>
      <c r="L5" s="507">
        <f>'[4]FOFIR  INCREMENTO'!M8+'[4]FFOR ESTIMACIONES'!M8</f>
        <v>49383.291033517475</v>
      </c>
      <c r="M5" s="507">
        <f>'[4]FOFIR  INCREMENTO'!N8+'[4]FFOR ESTIMACIONES'!N8</f>
        <v>49383.291033517475</v>
      </c>
      <c r="N5" s="508">
        <f t="shared" si="0"/>
        <v>674116.93039947527</v>
      </c>
      <c r="P5" s="509"/>
    </row>
    <row r="6" spans="1:16" ht="12.75" customHeight="1" x14ac:dyDescent="0.2">
      <c r="A6" s="505" t="s">
        <v>142</v>
      </c>
      <c r="B6" s="507">
        <f>'[4]FOFIR  INCREMENTO'!C9+'[4]FFOR ESTIMACIONES'!C9</f>
        <v>47172.166888439977</v>
      </c>
      <c r="C6" s="507">
        <f>'[4]FOFIR  INCREMENTO'!D9+'[4]FFOR ESTIMACIONES'!D9</f>
        <v>36009.252493238819</v>
      </c>
      <c r="D6" s="507">
        <f>'[4]FOFIR  INCREMENTO'!E9+'[4]FFOR ESTIMACIONES'!E9</f>
        <v>36009.252493238819</v>
      </c>
      <c r="E6" s="507">
        <f>'[4]FOFIR  INCREMENTO'!F9+'[4]FFOR ESTIMACIONES'!F9</f>
        <v>55920.919567698598</v>
      </c>
      <c r="F6" s="507">
        <f>'[4]FOFIR  INCREMENTO'!G9+'[4]FFOR ESTIMACIONES'!G9</f>
        <v>36009.252493238819</v>
      </c>
      <c r="G6" s="507">
        <f>'[4]FOFIR  INCREMENTO'!H9+'[4]FFOR ESTIMACIONES'!H9</f>
        <v>36009.252493238819</v>
      </c>
      <c r="H6" s="507">
        <f>'[4]FOFIR  INCREMENTO'!I9+'[4]FFOR ESTIMACIONES'!I9</f>
        <v>47014.845704379681</v>
      </c>
      <c r="I6" s="507">
        <f>'[4]FOFIR  INCREMENTO'!J9+'[4]FFOR ESTIMACIONES'!J9</f>
        <v>36009.252493238826</v>
      </c>
      <c r="J6" s="507">
        <f>'[4]FOFIR  INCREMENTO'!K9+'[4]FFOR ESTIMACIONES'!K9</f>
        <v>36009.252493238826</v>
      </c>
      <c r="K6" s="507">
        <f>'[4]FOFIR  INCREMENTO'!L9+'[4]FFOR ESTIMACIONES'!L9</f>
        <v>48839.278476363965</v>
      </c>
      <c r="L6" s="507">
        <f>'[4]FOFIR  INCREMENTO'!M9+'[4]FFOR ESTIMACIONES'!M9</f>
        <v>36009.252493238833</v>
      </c>
      <c r="M6" s="507">
        <f>'[4]FOFIR  INCREMENTO'!N9+'[4]FFOR ESTIMACIONES'!N9</f>
        <v>36009.252493238833</v>
      </c>
      <c r="N6" s="508">
        <f t="shared" si="0"/>
        <v>487021.23058279284</v>
      </c>
      <c r="P6" s="509"/>
    </row>
    <row r="7" spans="1:16" ht="12.75" customHeight="1" x14ac:dyDescent="0.2">
      <c r="A7" s="505" t="s">
        <v>259</v>
      </c>
      <c r="B7" s="507">
        <f>'[4]FOFIR  INCREMENTO'!C10+'[4]FFOR ESTIMACIONES'!C10</f>
        <v>1617728.7073038896</v>
      </c>
      <c r="C7" s="507">
        <f>'[4]FOFIR  INCREMENTO'!D10+'[4]FFOR ESTIMACIONES'!D10</f>
        <v>430998.70281890297</v>
      </c>
      <c r="D7" s="507">
        <f>'[4]FOFIR  INCREMENTO'!E10+'[4]FFOR ESTIMACIONES'!E10</f>
        <v>430998.70281890297</v>
      </c>
      <c r="E7" s="507">
        <f>'[4]FOFIR  INCREMENTO'!F10+'[4]FFOR ESTIMACIONES'!F10</f>
        <v>2358947.3555349289</v>
      </c>
      <c r="F7" s="507">
        <f>'[4]FOFIR  INCREMENTO'!G10+'[4]FFOR ESTIMACIONES'!G10</f>
        <v>430998.70281890297</v>
      </c>
      <c r="G7" s="507">
        <f>'[4]FOFIR  INCREMENTO'!H10+'[4]FFOR ESTIMACIONES'!H10</f>
        <v>430998.70281890297</v>
      </c>
      <c r="H7" s="507">
        <f>'[4]FOFIR  INCREMENTO'!I10+'[4]FFOR ESTIMACIONES'!I10</f>
        <v>1979019.7665862315</v>
      </c>
      <c r="I7" s="507">
        <f>'[4]FOFIR  INCREMENTO'!J10+'[4]FFOR ESTIMACIONES'!J10</f>
        <v>430998.70281890291</v>
      </c>
      <c r="J7" s="507">
        <f>'[4]FOFIR  INCREMENTO'!K10+'[4]FFOR ESTIMACIONES'!K10</f>
        <v>430998.70281890291</v>
      </c>
      <c r="K7" s="507">
        <f>'[4]FOFIR  INCREMENTO'!L10+'[4]FFOR ESTIMACIONES'!L10</f>
        <v>1859863.6965230324</v>
      </c>
      <c r="L7" s="507">
        <f>'[4]FOFIR  INCREMENTO'!M10+'[4]FFOR ESTIMACIONES'!M10</f>
        <v>430998.70281890279</v>
      </c>
      <c r="M7" s="507">
        <f>'[4]FOFIR  INCREMENTO'!N10+'[4]FFOR ESTIMACIONES'!N10</f>
        <v>430998.70281890279</v>
      </c>
      <c r="N7" s="508">
        <f t="shared" si="0"/>
        <v>11263549.148499306</v>
      </c>
      <c r="P7" s="509"/>
    </row>
    <row r="8" spans="1:16" ht="12.75" customHeight="1" x14ac:dyDescent="0.2">
      <c r="A8" s="505" t="s">
        <v>144</v>
      </c>
      <c r="B8" s="507">
        <f>'[4]FOFIR  INCREMENTO'!C11+'[4]FFOR ESTIMACIONES'!C11</f>
        <v>335898.08821091719</v>
      </c>
      <c r="C8" s="507">
        <f>'[4]FOFIR  INCREMENTO'!D11+'[4]FFOR ESTIMACIONES'!D11</f>
        <v>224560.41676661855</v>
      </c>
      <c r="D8" s="507">
        <f>'[4]FOFIR  INCREMENTO'!E11+'[4]FFOR ESTIMACIONES'!E11</f>
        <v>224560.41676661855</v>
      </c>
      <c r="E8" s="507">
        <f>'[4]FOFIR  INCREMENTO'!F11+'[4]FFOR ESTIMACIONES'!F11</f>
        <v>415674.64870536816</v>
      </c>
      <c r="F8" s="507">
        <f>'[4]FOFIR  INCREMENTO'!G11+'[4]FFOR ESTIMACIONES'!G11</f>
        <v>224560.41676661855</v>
      </c>
      <c r="G8" s="507">
        <f>'[4]FOFIR  INCREMENTO'!H11+'[4]FFOR ESTIMACIONES'!H11</f>
        <v>224560.41676661855</v>
      </c>
      <c r="H8" s="507">
        <f>'[4]FOFIR  INCREMENTO'!I11+'[4]FFOR ESTIMACIONES'!I11</f>
        <v>349305.63097027713</v>
      </c>
      <c r="I8" s="507">
        <f>'[4]FOFIR  INCREMENTO'!J11+'[4]FFOR ESTIMACIONES'!J11</f>
        <v>224560.41676661861</v>
      </c>
      <c r="J8" s="507">
        <f>'[4]FOFIR  INCREMENTO'!K11+'[4]FFOR ESTIMACIONES'!K11</f>
        <v>224560.41676661861</v>
      </c>
      <c r="K8" s="507">
        <f>'[4]FOFIR  INCREMENTO'!L11+'[4]FFOR ESTIMACIONES'!L11</f>
        <v>355097.12288766826</v>
      </c>
      <c r="L8" s="507">
        <f>'[4]FOFIR  INCREMENTO'!M11+'[4]FFOR ESTIMACIONES'!M11</f>
        <v>224560.41676661867</v>
      </c>
      <c r="M8" s="507">
        <f>'[4]FOFIR  INCREMENTO'!N11+'[4]FFOR ESTIMACIONES'!N11</f>
        <v>224560.41676661867</v>
      </c>
      <c r="N8" s="508">
        <f t="shared" si="0"/>
        <v>3252458.8249071799</v>
      </c>
      <c r="P8" s="509"/>
    </row>
    <row r="9" spans="1:16" ht="12.75" customHeight="1" x14ac:dyDescent="0.2">
      <c r="A9" s="505" t="s">
        <v>260</v>
      </c>
      <c r="B9" s="507">
        <f>'[4]FOFIR  INCREMENTO'!C12+'[4]FFOR ESTIMACIONES'!C12</f>
        <v>136223.33080593604</v>
      </c>
      <c r="C9" s="507">
        <f>'[4]FOFIR  INCREMENTO'!D12+'[4]FFOR ESTIMACIONES'!D12</f>
        <v>106022.47054212105</v>
      </c>
      <c r="D9" s="507">
        <f>'[4]FOFIR  INCREMENTO'!E12+'[4]FFOR ESTIMACIONES'!E12</f>
        <v>106022.47054212105</v>
      </c>
      <c r="E9" s="507">
        <f>'[4]FOFIR  INCREMENTO'!F12+'[4]FFOR ESTIMACIONES'!F12</f>
        <v>160370.91559869357</v>
      </c>
      <c r="F9" s="507">
        <f>'[4]FOFIR  INCREMENTO'!G12+'[4]FFOR ESTIMACIONES'!G12</f>
        <v>106022.47054212105</v>
      </c>
      <c r="G9" s="507">
        <f>'[4]FOFIR  INCREMENTO'!H12+'[4]FFOR ESTIMACIONES'!H12</f>
        <v>106022.47054212105</v>
      </c>
      <c r="H9" s="507">
        <f>'[4]FOFIR  INCREMENTO'!I12+'[4]FFOR ESTIMACIONES'!I12</f>
        <v>134840.6604641614</v>
      </c>
      <c r="I9" s="507">
        <f>'[4]FOFIR  INCREMENTO'!J12+'[4]FFOR ESTIMACIONES'!J12</f>
        <v>106022.47054212107</v>
      </c>
      <c r="J9" s="507">
        <f>'[4]FOFIR  INCREMENTO'!K12+'[4]FFOR ESTIMACIONES'!K12</f>
        <v>106022.47054212107</v>
      </c>
      <c r="K9" s="507">
        <f>'[4]FOFIR  INCREMENTO'!L12+'[4]FFOR ESTIMACIONES'!L12</f>
        <v>140569.31906997022</v>
      </c>
      <c r="L9" s="507">
        <f>'[4]FOFIR  INCREMENTO'!M12+'[4]FFOR ESTIMACIONES'!M12</f>
        <v>106022.4705421211</v>
      </c>
      <c r="M9" s="507">
        <f>'[4]FOFIR  INCREMENTO'!N12+'[4]FFOR ESTIMACIONES'!N12</f>
        <v>106022.4705421211</v>
      </c>
      <c r="N9" s="508">
        <f t="shared" si="0"/>
        <v>1420183.9902757299</v>
      </c>
      <c r="P9" s="509"/>
    </row>
    <row r="10" spans="1:16" ht="12.75" customHeight="1" x14ac:dyDescent="0.2">
      <c r="A10" s="505" t="s">
        <v>146</v>
      </c>
      <c r="B10" s="507">
        <f>'[4]FOFIR  INCREMENTO'!C13+'[4]FFOR ESTIMACIONES'!C13</f>
        <v>46943.919635121681</v>
      </c>
      <c r="C10" s="507">
        <f>'[4]FOFIR  INCREMENTO'!D13+'[4]FFOR ESTIMACIONES'!D13</f>
        <v>36546.418155936706</v>
      </c>
      <c r="D10" s="507">
        <f>'[4]FOFIR  INCREMENTO'!E13+'[4]FFOR ESTIMACIONES'!E13</f>
        <v>36546.418155936706</v>
      </c>
      <c r="E10" s="507">
        <f>'[4]FOFIR  INCREMENTO'!F13+'[4]FFOR ESTIMACIONES'!F13</f>
        <v>55259.921339763569</v>
      </c>
      <c r="F10" s="507">
        <f>'[4]FOFIR  INCREMENTO'!G13+'[4]FFOR ESTIMACIONES'!G13</f>
        <v>36546.418155936706</v>
      </c>
      <c r="G10" s="507">
        <f>'[4]FOFIR  INCREMENTO'!H13+'[4]FFOR ESTIMACIONES'!H13</f>
        <v>36546.418155936706</v>
      </c>
      <c r="H10" s="507">
        <f>'[4]FOFIR  INCREMENTO'!I13+'[4]FFOR ESTIMACIONES'!I13</f>
        <v>46462.868832540647</v>
      </c>
      <c r="I10" s="507">
        <f>'[4]FOFIR  INCREMENTO'!J13+'[4]FFOR ESTIMACIONES'!J13</f>
        <v>36546.418155936706</v>
      </c>
      <c r="J10" s="507">
        <f>'[4]FOFIR  INCREMENTO'!K13+'[4]FFOR ESTIMACIONES'!K13</f>
        <v>36546.418155936706</v>
      </c>
      <c r="K10" s="507">
        <f>'[4]FOFIR  INCREMENTO'!L13+'[4]FFOR ESTIMACIONES'!L13</f>
        <v>48439.285993104728</v>
      </c>
      <c r="L10" s="507">
        <f>'[4]FOFIR  INCREMENTO'!M13+'[4]FFOR ESTIMACIONES'!M13</f>
        <v>36546.418155936721</v>
      </c>
      <c r="M10" s="507">
        <f>'[4]FOFIR  INCREMENTO'!N13+'[4]FFOR ESTIMACIONES'!N13</f>
        <v>36546.418155936721</v>
      </c>
      <c r="N10" s="508">
        <f t="shared" si="0"/>
        <v>489477.34104802425</v>
      </c>
      <c r="P10" s="509"/>
    </row>
    <row r="11" spans="1:16" ht="12.75" customHeight="1" x14ac:dyDescent="0.2">
      <c r="A11" s="505" t="s">
        <v>147</v>
      </c>
      <c r="B11" s="507">
        <f>'[4]FOFIR  INCREMENTO'!C14+'[4]FFOR ESTIMACIONES'!C14</f>
        <v>124230.24244290034</v>
      </c>
      <c r="C11" s="507">
        <f>'[4]FOFIR  INCREMENTO'!D14+'[4]FFOR ESTIMACIONES'!D14</f>
        <v>90312.547392919572</v>
      </c>
      <c r="D11" s="507">
        <f>'[4]FOFIR  INCREMENTO'!E14+'[4]FFOR ESTIMACIONES'!E14</f>
        <v>90312.547392919572</v>
      </c>
      <c r="E11" s="507">
        <f>'[4]FOFIR  INCREMENTO'!F14+'[4]FFOR ESTIMACIONES'!F14</f>
        <v>149750.89511270751</v>
      </c>
      <c r="F11" s="507">
        <f>'[4]FOFIR  INCREMENTO'!G14+'[4]FFOR ESTIMACIONES'!G14</f>
        <v>90312.547392919572</v>
      </c>
      <c r="G11" s="507">
        <f>'[4]FOFIR  INCREMENTO'!H14+'[4]FFOR ESTIMACIONES'!H14</f>
        <v>90312.547392919572</v>
      </c>
      <c r="H11" s="507">
        <f>'[4]FOFIR  INCREMENTO'!I14+'[4]FFOR ESTIMACIONES'!I14</f>
        <v>125877.45677451006</v>
      </c>
      <c r="I11" s="507">
        <f>'[4]FOFIR  INCREMENTO'!J14+'[4]FFOR ESTIMACIONES'!J14</f>
        <v>90312.547392919587</v>
      </c>
      <c r="J11" s="507">
        <f>'[4]FOFIR  INCREMENTO'!K14+'[4]FFOR ESTIMACIONES'!K14</f>
        <v>90312.547392919587</v>
      </c>
      <c r="K11" s="507">
        <f>'[4]FOFIR  INCREMENTO'!L14+'[4]FFOR ESTIMACIONES'!L14</f>
        <v>129660.53337129968</v>
      </c>
      <c r="L11" s="507">
        <f>'[4]FOFIR  INCREMENTO'!M14+'[4]FFOR ESTIMACIONES'!M14</f>
        <v>90312.547392919616</v>
      </c>
      <c r="M11" s="507">
        <f>'[4]FOFIR  INCREMENTO'!N14+'[4]FFOR ESTIMACIONES'!N14</f>
        <v>90312.547392919616</v>
      </c>
      <c r="N11" s="508">
        <f t="shared" si="0"/>
        <v>1252019.5068447744</v>
      </c>
      <c r="P11" s="509"/>
    </row>
    <row r="12" spans="1:16" ht="12.75" customHeight="1" x14ac:dyDescent="0.2">
      <c r="A12" s="505" t="s">
        <v>148</v>
      </c>
      <c r="B12" s="507">
        <f>'[4]FOFIR  INCREMENTO'!C15+'[4]FFOR ESTIMACIONES'!C15</f>
        <v>73217.41689484354</v>
      </c>
      <c r="C12" s="507">
        <f>'[4]FOFIR  INCREMENTO'!D15+'[4]FFOR ESTIMACIONES'!D15</f>
        <v>55839.774119728063</v>
      </c>
      <c r="D12" s="507">
        <f>'[4]FOFIR  INCREMENTO'!E15+'[4]FFOR ESTIMACIONES'!E15</f>
        <v>55839.774119728063</v>
      </c>
      <c r="E12" s="507">
        <f>'[4]FOFIR  INCREMENTO'!F15+'[4]FFOR ESTIMACIONES'!F15</f>
        <v>86824.803164653436</v>
      </c>
      <c r="F12" s="507">
        <f>'[4]FOFIR  INCREMENTO'!G15+'[4]FFOR ESTIMACIONES'!G15</f>
        <v>55839.774119728063</v>
      </c>
      <c r="G12" s="507">
        <f>'[4]FOFIR  INCREMENTO'!H15+'[4]FFOR ESTIMACIONES'!H15</f>
        <v>55839.774119728063</v>
      </c>
      <c r="H12" s="507">
        <f>'[4]FOFIR  INCREMENTO'!I15+'[4]FFOR ESTIMACIONES'!I15</f>
        <v>72996.646462266639</v>
      </c>
      <c r="I12" s="507">
        <f>'[4]FOFIR  INCREMENTO'!J15+'[4]FFOR ESTIMACIONES'!J15</f>
        <v>55839.77411972807</v>
      </c>
      <c r="J12" s="507">
        <f>'[4]FOFIR  INCREMENTO'!K15+'[4]FFOR ESTIMACIONES'!K15</f>
        <v>55839.77411972807</v>
      </c>
      <c r="K12" s="507">
        <f>'[4]FOFIR  INCREMENTO'!L15+'[4]FFOR ESTIMACIONES'!L15</f>
        <v>75816.803486396821</v>
      </c>
      <c r="L12" s="507">
        <f>'[4]FOFIR  INCREMENTO'!M15+'[4]FFOR ESTIMACIONES'!M15</f>
        <v>55839.774119728085</v>
      </c>
      <c r="M12" s="507">
        <f>'[4]FOFIR  INCREMENTO'!N15+'[4]FFOR ESTIMACIONES'!N15</f>
        <v>55839.774119728085</v>
      </c>
      <c r="N12" s="508">
        <f t="shared" si="0"/>
        <v>755573.86296598508</v>
      </c>
      <c r="P12" s="509"/>
    </row>
    <row r="13" spans="1:16" ht="12.75" customHeight="1" x14ac:dyDescent="0.2">
      <c r="A13" s="505" t="s">
        <v>149</v>
      </c>
      <c r="B13" s="507">
        <f>'[4]FOFIR  INCREMENTO'!C16+'[4]FFOR ESTIMACIONES'!C16</f>
        <v>54629.467025347098</v>
      </c>
      <c r="C13" s="507">
        <f>'[4]FOFIR  INCREMENTO'!D16+'[4]FFOR ESTIMACIONES'!D16</f>
        <v>41918.164215620891</v>
      </c>
      <c r="D13" s="507">
        <f>'[4]FOFIR  INCREMENTO'!E16+'[4]FFOR ESTIMACIONES'!E16</f>
        <v>41918.164215620891</v>
      </c>
      <c r="E13" s="507">
        <f>'[4]FOFIR  INCREMENTO'!F16+'[4]FFOR ESTIMACIONES'!F16</f>
        <v>64642.564346199848</v>
      </c>
      <c r="F13" s="507">
        <f>'[4]FOFIR  INCREMENTO'!G16+'[4]FFOR ESTIMACIONES'!G16</f>
        <v>41918.164215620891</v>
      </c>
      <c r="G13" s="507">
        <f>'[4]FOFIR  INCREMENTO'!H16+'[4]FFOR ESTIMACIONES'!H16</f>
        <v>41918.164215620891</v>
      </c>
      <c r="H13" s="507">
        <f>'[4]FOFIR  INCREMENTO'!I16+'[4]FFOR ESTIMACIONES'!I16</f>
        <v>54348.604601859013</v>
      </c>
      <c r="I13" s="507">
        <f>'[4]FOFIR  INCREMENTO'!J16+'[4]FFOR ESTIMACIONES'!J16</f>
        <v>41918.164215620898</v>
      </c>
      <c r="J13" s="507">
        <f>'[4]FOFIR  INCREMENTO'!K16+'[4]FFOR ESTIMACIONES'!K16</f>
        <v>41918.164215620898</v>
      </c>
      <c r="K13" s="507">
        <f>'[4]FOFIR  INCREMENTO'!L16+'[4]FFOR ESTIMACIONES'!L16</f>
        <v>56510.355805752377</v>
      </c>
      <c r="L13" s="507">
        <f>'[4]FOFIR  INCREMENTO'!M16+'[4]FFOR ESTIMACIONES'!M16</f>
        <v>41918.164215620913</v>
      </c>
      <c r="M13" s="507">
        <f>'[4]FOFIR  INCREMENTO'!N16+'[4]FFOR ESTIMACIONES'!N16</f>
        <v>41918.164215620913</v>
      </c>
      <c r="N13" s="508">
        <f t="shared" si="0"/>
        <v>565476.30550412554</v>
      </c>
      <c r="P13" s="509"/>
    </row>
    <row r="14" spans="1:16" ht="12.75" customHeight="1" x14ac:dyDescent="0.2">
      <c r="A14" s="505" t="s">
        <v>150</v>
      </c>
      <c r="B14" s="507">
        <f>'[4]FOFIR  INCREMENTO'!C17+'[4]FFOR ESTIMACIONES'!C17</f>
        <v>145506.38386108386</v>
      </c>
      <c r="C14" s="507">
        <f>'[4]FOFIR  INCREMENTO'!D17+'[4]FFOR ESTIMACIONES'!D17</f>
        <v>111856.14487044928</v>
      </c>
      <c r="D14" s="507">
        <f>'[4]FOFIR  INCREMENTO'!E17+'[4]FFOR ESTIMACIONES'!E17</f>
        <v>111856.14487044928</v>
      </c>
      <c r="E14" s="507">
        <f>'[4]FOFIR  INCREMENTO'!F17+'[4]FFOR ESTIMACIONES'!F17</f>
        <v>172063.08587293784</v>
      </c>
      <c r="F14" s="507">
        <f>'[4]FOFIR  INCREMENTO'!G17+'[4]FFOR ESTIMACIONES'!G17</f>
        <v>111856.14487044928</v>
      </c>
      <c r="G14" s="507">
        <f>'[4]FOFIR  INCREMENTO'!H17+'[4]FFOR ESTIMACIONES'!H17</f>
        <v>111856.14487044928</v>
      </c>
      <c r="H14" s="507">
        <f>'[4]FOFIR  INCREMENTO'!I17+'[4]FFOR ESTIMACIONES'!I17</f>
        <v>144664.11103260936</v>
      </c>
      <c r="I14" s="507">
        <f>'[4]FOFIR  INCREMENTO'!J17+'[4]FFOR ESTIMACIONES'!J17</f>
        <v>111856.14487044929</v>
      </c>
      <c r="J14" s="507">
        <f>'[4]FOFIR  INCREMENTO'!K17+'[4]FFOR ESTIMACIONES'!K17</f>
        <v>111856.14487044929</v>
      </c>
      <c r="K14" s="507">
        <f>'[4]FOFIR  INCREMENTO'!L17+'[4]FFOR ESTIMACIONES'!L17</f>
        <v>150468.64672921068</v>
      </c>
      <c r="L14" s="507">
        <f>'[4]FOFIR  INCREMENTO'!M17+'[4]FFOR ESTIMACIONES'!M17</f>
        <v>111856.14487044932</v>
      </c>
      <c r="M14" s="507">
        <f>'[4]FOFIR  INCREMENTO'!N17+'[4]FFOR ESTIMACIONES'!N17</f>
        <v>111856.14487044932</v>
      </c>
      <c r="N14" s="508">
        <f t="shared" si="0"/>
        <v>1507551.386459436</v>
      </c>
      <c r="P14" s="509"/>
    </row>
    <row r="15" spans="1:16" ht="12.75" customHeight="1" x14ac:dyDescent="0.2">
      <c r="A15" s="505" t="s">
        <v>151</v>
      </c>
      <c r="B15" s="507">
        <f>'[4]FOFIR  INCREMENTO'!C18+'[4]FFOR ESTIMACIONES'!C18</f>
        <v>95281.562275807373</v>
      </c>
      <c r="C15" s="507">
        <f>'[4]FOFIR  INCREMENTO'!D18+'[4]FFOR ESTIMACIONES'!D18</f>
        <v>72968.796871253828</v>
      </c>
      <c r="D15" s="507">
        <f>'[4]FOFIR  INCREMENTO'!E18+'[4]FFOR ESTIMACIONES'!E18</f>
        <v>72968.796871253828</v>
      </c>
      <c r="E15" s="507">
        <f>'[4]FOFIR  INCREMENTO'!F18+'[4]FFOR ESTIMACIONES'!F18</f>
        <v>112824.00287479749</v>
      </c>
      <c r="F15" s="507">
        <f>'[4]FOFIR  INCREMENTO'!G18+'[4]FFOR ESTIMACIONES'!G18</f>
        <v>72968.796871253828</v>
      </c>
      <c r="G15" s="507">
        <f>'[4]FOFIR  INCREMENTO'!H18+'[4]FFOR ESTIMACIONES'!H18</f>
        <v>72968.796871253828</v>
      </c>
      <c r="H15" s="507">
        <f>'[4]FOFIR  INCREMENTO'!I18+'[4]FFOR ESTIMACIONES'!I18</f>
        <v>94856.671654094942</v>
      </c>
      <c r="I15" s="507">
        <f>'[4]FOFIR  INCREMENTO'!J18+'[4]FFOR ESTIMACIONES'!J18</f>
        <v>72968.796871253842</v>
      </c>
      <c r="J15" s="507">
        <f>'[4]FOFIR  INCREMENTO'!K18+'[4]FFOR ESTIMACIONES'!K18</f>
        <v>72968.796871253842</v>
      </c>
      <c r="K15" s="507">
        <f>'[4]FOFIR  INCREMENTO'!L18+'[4]FFOR ESTIMACIONES'!L18</f>
        <v>98594.8735892369</v>
      </c>
      <c r="L15" s="507">
        <f>'[4]FOFIR  INCREMENTO'!M18+'[4]FFOR ESTIMACIONES'!M18</f>
        <v>72968.796871253857</v>
      </c>
      <c r="M15" s="507">
        <f>'[4]FOFIR  INCREMENTO'!N18+'[4]FFOR ESTIMACIONES'!N18</f>
        <v>72968.796871253857</v>
      </c>
      <c r="N15" s="508">
        <f t="shared" si="0"/>
        <v>985307.48536396737</v>
      </c>
      <c r="P15" s="509"/>
    </row>
    <row r="16" spans="1:16" ht="12.75" customHeight="1" x14ac:dyDescent="0.2">
      <c r="A16" s="505" t="s">
        <v>152</v>
      </c>
      <c r="B16" s="507">
        <f>'[4]FOFIR  INCREMENTO'!C19+'[4]FFOR ESTIMACIONES'!C19</f>
        <v>175211.10725289915</v>
      </c>
      <c r="C16" s="507">
        <f>'[4]FOFIR  INCREMENTO'!D19+'[4]FFOR ESTIMACIONES'!D19</f>
        <v>130974.14327742736</v>
      </c>
      <c r="D16" s="507">
        <f>'[4]FOFIR  INCREMENTO'!E19+'[4]FFOR ESTIMACIONES'!E19</f>
        <v>130974.14327742736</v>
      </c>
      <c r="E16" s="507">
        <f>'[4]FOFIR  INCREMENTO'!F19+'[4]FFOR ESTIMACIONES'!F19</f>
        <v>209229.25806835794</v>
      </c>
      <c r="F16" s="507">
        <f>'[4]FOFIR  INCREMENTO'!G19+'[4]FFOR ESTIMACIONES'!G19</f>
        <v>130974.14327742736</v>
      </c>
      <c r="G16" s="507">
        <f>'[4]FOFIR  INCREMENTO'!H19+'[4]FFOR ESTIMACIONES'!H19</f>
        <v>130974.14327742736</v>
      </c>
      <c r="H16" s="507">
        <f>'[4]FOFIR  INCREMENTO'!I19+'[4]FFOR ESTIMACIONES'!I19</f>
        <v>175892.37743240609</v>
      </c>
      <c r="I16" s="507">
        <f>'[4]FOFIR  INCREMENTO'!J19+'[4]FFOR ESTIMACIONES'!J19</f>
        <v>130974.14327742737</v>
      </c>
      <c r="J16" s="507">
        <f>'[4]FOFIR  INCREMENTO'!K19+'[4]FFOR ESTIMACIONES'!K19</f>
        <v>130974.14327742737</v>
      </c>
      <c r="K16" s="507">
        <f>'[4]FOFIR  INCREMENTO'!L19+'[4]FFOR ESTIMACIONES'!L19</f>
        <v>182041.63685868873</v>
      </c>
      <c r="L16" s="507">
        <f>'[4]FOFIR  INCREMENTO'!M19+'[4]FFOR ESTIMACIONES'!M19</f>
        <v>130974.1432774274</v>
      </c>
      <c r="M16" s="507">
        <f>'[4]FOFIR  INCREMENTO'!N19+'[4]FFOR ESTIMACIONES'!N19</f>
        <v>130974.1432774274</v>
      </c>
      <c r="N16" s="508">
        <f t="shared" si="0"/>
        <v>1790167.5258317711</v>
      </c>
      <c r="P16" s="509"/>
    </row>
    <row r="17" spans="1:16" ht="12.75" customHeight="1" x14ac:dyDescent="0.2">
      <c r="A17" s="505" t="s">
        <v>261</v>
      </c>
      <c r="B17" s="507">
        <f>'[4]FOFIR  INCREMENTO'!C20+'[4]FFOR ESTIMACIONES'!C20</f>
        <v>32082.245978128209</v>
      </c>
      <c r="C17" s="507">
        <f>'[4]FOFIR  INCREMENTO'!D20+'[4]FFOR ESTIMACIONES'!D20</f>
        <v>24734.573295392911</v>
      </c>
      <c r="D17" s="507">
        <f>'[4]FOFIR  INCREMENTO'!E20+'[4]FFOR ESTIMACIONES'!E20</f>
        <v>24734.573295392911</v>
      </c>
      <c r="E17" s="507">
        <f>'[4]FOFIR  INCREMENTO'!F20+'[4]FFOR ESTIMACIONES'!F20</f>
        <v>37898.266086048701</v>
      </c>
      <c r="F17" s="507">
        <f>'[4]FOFIR  INCREMENTO'!G20+'[4]FFOR ESTIMACIONES'!G20</f>
        <v>24734.573295392911</v>
      </c>
      <c r="G17" s="507">
        <f>'[4]FOFIR  INCREMENTO'!H20+'[4]FFOR ESTIMACIONES'!H20</f>
        <v>24734.573295392911</v>
      </c>
      <c r="H17" s="507">
        <f>'[4]FOFIR  INCREMENTO'!I20+'[4]FFOR ESTIMACIONES'!I20</f>
        <v>31863.80267220438</v>
      </c>
      <c r="I17" s="507">
        <f>'[4]FOFIR  INCREMENTO'!J20+'[4]FFOR ESTIMACIONES'!J20</f>
        <v>24734.573295392915</v>
      </c>
      <c r="J17" s="507">
        <f>'[4]FOFIR  INCREMENTO'!K20+'[4]FFOR ESTIMACIONES'!K20</f>
        <v>24734.573295392915</v>
      </c>
      <c r="K17" s="507">
        <f>'[4]FOFIR  INCREMENTO'!L20+'[4]FFOR ESTIMACIONES'!L20</f>
        <v>33159.848552051655</v>
      </c>
      <c r="L17" s="507">
        <f>'[4]FOFIR  INCREMENTO'!M20+'[4]FFOR ESTIMACIONES'!M20</f>
        <v>24734.573295392922</v>
      </c>
      <c r="M17" s="507">
        <f>'[4]FOFIR  INCREMENTO'!N20+'[4]FFOR ESTIMACIONES'!N20</f>
        <v>24734.573295392922</v>
      </c>
      <c r="N17" s="508">
        <f t="shared" si="0"/>
        <v>332880.74965157622</v>
      </c>
      <c r="P17" s="509"/>
    </row>
    <row r="18" spans="1:16" ht="12.75" customHeight="1" x14ac:dyDescent="0.2">
      <c r="A18" s="505" t="s">
        <v>262</v>
      </c>
      <c r="B18" s="507">
        <f>'[4]FOFIR  INCREMENTO'!C21+'[4]FFOR ESTIMACIONES'!C21</f>
        <v>99391.400023789014</v>
      </c>
      <c r="C18" s="507">
        <f>'[4]FOFIR  INCREMENTO'!D21+'[4]FFOR ESTIMACIONES'!D21</f>
        <v>75403.363201752349</v>
      </c>
      <c r="D18" s="507">
        <f>'[4]FOFIR  INCREMENTO'!E21+'[4]FFOR ESTIMACIONES'!E21</f>
        <v>75403.363201752349</v>
      </c>
      <c r="E18" s="507">
        <f>'[4]FOFIR  INCREMENTO'!F21+'[4]FFOR ESTIMACIONES'!F21</f>
        <v>118081.71964193785</v>
      </c>
      <c r="F18" s="507">
        <f>'[4]FOFIR  INCREMENTO'!G21+'[4]FFOR ESTIMACIONES'!G21</f>
        <v>75403.363201752349</v>
      </c>
      <c r="G18" s="507">
        <f>'[4]FOFIR  INCREMENTO'!H21+'[4]FFOR ESTIMACIONES'!H21</f>
        <v>75403.363201752349</v>
      </c>
      <c r="H18" s="507">
        <f>'[4]FOFIR  INCREMENTO'!I21+'[4]FFOR ESTIMACIONES'!I21</f>
        <v>99273.330570092847</v>
      </c>
      <c r="I18" s="507">
        <f>'[4]FOFIR  INCREMENTO'!J21+'[4]FFOR ESTIMACIONES'!J21</f>
        <v>75403.363201752363</v>
      </c>
      <c r="J18" s="507">
        <f>'[4]FOFIR  INCREMENTO'!K21+'[4]FFOR ESTIMACIONES'!K21</f>
        <v>75403.363201752363</v>
      </c>
      <c r="K18" s="507">
        <f>'[4]FOFIR  INCREMENTO'!L21+'[4]FFOR ESTIMACIONES'!L21</f>
        <v>103011.63676344753</v>
      </c>
      <c r="L18" s="507">
        <f>'[4]FOFIR  INCREMENTO'!M21+'[4]FFOR ESTIMACIONES'!M21</f>
        <v>75403.363201752378</v>
      </c>
      <c r="M18" s="507">
        <f>'[4]FOFIR  INCREMENTO'!N21+'[4]FFOR ESTIMACIONES'!N21</f>
        <v>75403.363201752378</v>
      </c>
      <c r="N18" s="508">
        <f t="shared" si="0"/>
        <v>1022984.9926132861</v>
      </c>
      <c r="P18" s="509"/>
    </row>
    <row r="19" spans="1:16" ht="12.75" customHeight="1" x14ac:dyDescent="0.2">
      <c r="A19" s="505" t="s">
        <v>263</v>
      </c>
      <c r="B19" s="507">
        <f>'[4]FOFIR  INCREMENTO'!C22+'[4]FFOR ESTIMACIONES'!C22</f>
        <v>420065.61621562677</v>
      </c>
      <c r="C19" s="507">
        <f>'[4]FOFIR  INCREMENTO'!D22+'[4]FFOR ESTIMACIONES'!D22</f>
        <v>297399.6705633708</v>
      </c>
      <c r="D19" s="507">
        <f>'[4]FOFIR  INCREMENTO'!E22+'[4]FFOR ESTIMACIONES'!E22</f>
        <v>297399.6705633708</v>
      </c>
      <c r="E19" s="507">
        <f>'[4]FOFIR  INCREMENTO'!F22+'[4]FFOR ESTIMACIONES'!F22</f>
        <v>510738.40749591962</v>
      </c>
      <c r="F19" s="507">
        <f>'[4]FOFIR  INCREMENTO'!G22+'[4]FFOR ESTIMACIONES'!G22</f>
        <v>297399.6705633708</v>
      </c>
      <c r="G19" s="507">
        <f>'[4]FOFIR  INCREMENTO'!H22+'[4]FFOR ESTIMACIONES'!H22</f>
        <v>297399.6705633708</v>
      </c>
      <c r="H19" s="507">
        <f>'[4]FOFIR  INCREMENTO'!I22+'[4]FFOR ESTIMACIONES'!I22</f>
        <v>429274.62224649225</v>
      </c>
      <c r="I19" s="507">
        <f>'[4]FOFIR  INCREMENTO'!J22+'[4]FFOR ESTIMACIONES'!J22</f>
        <v>297399.6705633708</v>
      </c>
      <c r="J19" s="507">
        <f>'[4]FOFIR  INCREMENTO'!K22+'[4]FFOR ESTIMACIONES'!K22</f>
        <v>297399.6705633708</v>
      </c>
      <c r="K19" s="507">
        <f>'[4]FOFIR  INCREMENTO'!L22+'[4]FFOR ESTIMACIONES'!L22</f>
        <v>440262.99265450577</v>
      </c>
      <c r="L19" s="507">
        <f>'[4]FOFIR  INCREMENTO'!M22+'[4]FFOR ESTIMACIONES'!M22</f>
        <v>297399.67056337092</v>
      </c>
      <c r="M19" s="507">
        <f>'[4]FOFIR  INCREMENTO'!N22+'[4]FFOR ESTIMACIONES'!N22</f>
        <v>297399.67056337092</v>
      </c>
      <c r="N19" s="508">
        <f t="shared" si="0"/>
        <v>4179539.0031195115</v>
      </c>
      <c r="P19" s="509"/>
    </row>
    <row r="20" spans="1:16" ht="12.75" customHeight="1" x14ac:dyDescent="0.2">
      <c r="A20" s="505" t="s">
        <v>156</v>
      </c>
      <c r="B20" s="507">
        <f>'[4]FOFIR  INCREMENTO'!C23+'[4]FFOR ESTIMACIONES'!C23</f>
        <v>170533.97903100238</v>
      </c>
      <c r="C20" s="507">
        <f>'[4]FOFIR  INCREMENTO'!D23+'[4]FFOR ESTIMACIONES'!D23</f>
        <v>129601.39277329139</v>
      </c>
      <c r="D20" s="507">
        <f>'[4]FOFIR  INCREMENTO'!E23+'[4]FFOR ESTIMACIONES'!E23</f>
        <v>129601.39277329139</v>
      </c>
      <c r="E20" s="507">
        <f>'[4]FOFIR  INCREMENTO'!F23+'[4]FFOR ESTIMACIONES'!F23</f>
        <v>202478.65253937428</v>
      </c>
      <c r="F20" s="507">
        <f>'[4]FOFIR  INCREMENTO'!G23+'[4]FFOR ESTIMACIONES'!G23</f>
        <v>129601.39277329139</v>
      </c>
      <c r="G20" s="507">
        <f>'[4]FOFIR  INCREMENTO'!H23+'[4]FFOR ESTIMACIONES'!H23</f>
        <v>129601.39277329139</v>
      </c>
      <c r="H20" s="507">
        <f>'[4]FOFIR  INCREMENTO'!I23+'[4]FFOR ESTIMACIONES'!I23</f>
        <v>170228.46891281396</v>
      </c>
      <c r="I20" s="507">
        <f>'[4]FOFIR  INCREMENTO'!J23+'[4]FFOR ESTIMACIONES'!J23</f>
        <v>129601.3927732914</v>
      </c>
      <c r="J20" s="507">
        <f>'[4]FOFIR  INCREMENTO'!K23+'[4]FFOR ESTIMACIONES'!K23</f>
        <v>129601.3927732914</v>
      </c>
      <c r="K20" s="507">
        <f>'[4]FOFIR  INCREMENTO'!L23+'[4]FFOR ESTIMACIONES'!L23</f>
        <v>176693.59722003041</v>
      </c>
      <c r="L20" s="507">
        <f>'[4]FOFIR  INCREMENTO'!M23+'[4]FFOR ESTIMACIONES'!M23</f>
        <v>129601.39277329143</v>
      </c>
      <c r="M20" s="507">
        <f>'[4]FOFIR  INCREMENTO'!N23+'[4]FFOR ESTIMACIONES'!N23</f>
        <v>129601.39277329143</v>
      </c>
      <c r="N20" s="508">
        <f t="shared" si="0"/>
        <v>1756745.839889552</v>
      </c>
      <c r="P20" s="509"/>
    </row>
    <row r="21" spans="1:16" ht="12.75" customHeight="1" x14ac:dyDescent="0.2">
      <c r="A21" s="505" t="s">
        <v>157</v>
      </c>
      <c r="B21" s="507">
        <f>'[4]FOFIR  INCREMENTO'!C24+'[4]FFOR ESTIMACIONES'!C24</f>
        <v>4412920.4130918365</v>
      </c>
      <c r="C21" s="507">
        <f>'[4]FOFIR  INCREMENTO'!D24+'[4]FFOR ESTIMACIONES'!D24</f>
        <v>1495464.6506116232</v>
      </c>
      <c r="D21" s="507">
        <f>'[4]FOFIR  INCREMENTO'!E24+'[4]FFOR ESTIMACIONES'!E24</f>
        <v>1495464.6506116232</v>
      </c>
      <c r="E21" s="507">
        <f>'[4]FOFIR  INCREMENTO'!F24+'[4]FFOR ESTIMACIONES'!F24</f>
        <v>6259364.9387764577</v>
      </c>
      <c r="F21" s="507">
        <f>'[4]FOFIR  INCREMENTO'!G24+'[4]FFOR ESTIMACIONES'!G24</f>
        <v>1495464.6506116232</v>
      </c>
      <c r="G21" s="507">
        <f>'[4]FOFIR  INCREMENTO'!H24+'[4]FFOR ESTIMACIONES'!H24</f>
        <v>1495464.6506116232</v>
      </c>
      <c r="H21" s="507">
        <f>'[4]FOFIR  INCREMENTO'!I24+'[4]FFOR ESTIMACIONES'!I24</f>
        <v>5252613.6326778764</v>
      </c>
      <c r="I21" s="507">
        <f>'[4]FOFIR  INCREMENTO'!J24+'[4]FFOR ESTIMACIONES'!J24</f>
        <v>1495464.6506116227</v>
      </c>
      <c r="J21" s="507">
        <f>'[4]FOFIR  INCREMENTO'!K24+'[4]FFOR ESTIMACIONES'!K24</f>
        <v>1495464.6506116227</v>
      </c>
      <c r="K21" s="507">
        <f>'[4]FOFIR  INCREMENTO'!L24+'[4]FFOR ESTIMACIONES'!L24</f>
        <v>4999856.7513061259</v>
      </c>
      <c r="L21" s="507">
        <f>'[4]FOFIR  INCREMENTO'!M24+'[4]FFOR ESTIMACIONES'!M24</f>
        <v>1495464.650611623</v>
      </c>
      <c r="M21" s="507">
        <f>'[4]FOFIR  INCREMENTO'!N24+'[4]FFOR ESTIMACIONES'!N24</f>
        <v>1495464.650611623</v>
      </c>
      <c r="N21" s="508">
        <f t="shared" si="0"/>
        <v>32888472.940745287</v>
      </c>
      <c r="P21" s="509"/>
    </row>
    <row r="22" spans="1:16" ht="12.75" customHeight="1" x14ac:dyDescent="0.2">
      <c r="A22" s="505" t="s">
        <v>158</v>
      </c>
      <c r="B22" s="507">
        <f>'[4]FOFIR  INCREMENTO'!C25+'[4]FFOR ESTIMACIONES'!C25</f>
        <v>129036.36345567444</v>
      </c>
      <c r="C22" s="507">
        <f>'[4]FOFIR  INCREMENTO'!D25+'[4]FFOR ESTIMACIONES'!D25</f>
        <v>99018.198689019351</v>
      </c>
      <c r="D22" s="507">
        <f>'[4]FOFIR  INCREMENTO'!E25+'[4]FFOR ESTIMACIONES'!E25</f>
        <v>99018.198689019351</v>
      </c>
      <c r="E22" s="507">
        <f>'[4]FOFIR  INCREMENTO'!F25+'[4]FFOR ESTIMACIONES'!F25</f>
        <v>152684.13042086223</v>
      </c>
      <c r="F22" s="507">
        <f>'[4]FOFIR  INCREMENTO'!G25+'[4]FFOR ESTIMACIONES'!G25</f>
        <v>99018.198689019351</v>
      </c>
      <c r="G22" s="507">
        <f>'[4]FOFIR  INCREMENTO'!H25+'[4]FFOR ESTIMACIONES'!H25</f>
        <v>99018.198689019351</v>
      </c>
      <c r="H22" s="507">
        <f>'[4]FOFIR  INCREMENTO'!I25+'[4]FFOR ESTIMACIONES'!I25</f>
        <v>128370.08658560559</v>
      </c>
      <c r="I22" s="507">
        <f>'[4]FOFIR  INCREMENTO'!J25+'[4]FFOR ESTIMACIONES'!J25</f>
        <v>99018.198689019366</v>
      </c>
      <c r="J22" s="507">
        <f>'[4]FOFIR  INCREMENTO'!K25+'[4]FFOR ESTIMACIONES'!K25</f>
        <v>99018.198689019366</v>
      </c>
      <c r="K22" s="507">
        <f>'[4]FOFIR  INCREMENTO'!L25+'[4]FFOR ESTIMACIONES'!L25</f>
        <v>133477.62796442886</v>
      </c>
      <c r="L22" s="507">
        <f>'[4]FOFIR  INCREMENTO'!M25+'[4]FFOR ESTIMACIONES'!M25</f>
        <v>99018.198689019395</v>
      </c>
      <c r="M22" s="507">
        <f>'[4]FOFIR  INCREMENTO'!N25+'[4]FFOR ESTIMACIONES'!N25</f>
        <v>99018.198689019395</v>
      </c>
      <c r="N22" s="508">
        <f t="shared" si="0"/>
        <v>1335713.7979387259</v>
      </c>
      <c r="P22" s="509"/>
    </row>
    <row r="23" spans="1:16" ht="12.75" customHeight="1" thickBot="1" x14ac:dyDescent="0.25">
      <c r="A23" s="505" t="s">
        <v>159</v>
      </c>
      <c r="B23" s="507">
        <f>'[4]FOFIR  INCREMENTO'!C26+'[4]FFOR ESTIMACIONES'!C26</f>
        <v>252294.59741357152</v>
      </c>
      <c r="C23" s="507">
        <f>'[4]FOFIR  INCREMENTO'!D26+'[4]FFOR ESTIMACIONES'!D26</f>
        <v>155725.51565779196</v>
      </c>
      <c r="D23" s="507">
        <f>'[4]FOFIR  INCREMENTO'!E26+'[4]FFOR ESTIMACIONES'!E26</f>
        <v>155725.51565779196</v>
      </c>
      <c r="E23" s="507">
        <f>'[4]FOFIR  INCREMENTO'!F26+'[4]FFOR ESTIMACIONES'!F26</f>
        <v>319318.22507719009</v>
      </c>
      <c r="F23" s="507">
        <f>'[4]FOFIR  INCREMENTO'!G26+'[4]FFOR ESTIMACIONES'!G26</f>
        <v>155725.51565779196</v>
      </c>
      <c r="G23" s="507">
        <f>'[4]FOFIR  INCREMENTO'!H26+'[4]FFOR ESTIMACIONES'!H26</f>
        <v>155725.51565779196</v>
      </c>
      <c r="H23" s="507">
        <f>'[4]FOFIR  INCREMENTO'!I26+'[4]FFOR ESTIMACIONES'!I26</f>
        <v>268268.68315012148</v>
      </c>
      <c r="I23" s="507">
        <f>'[4]FOFIR  INCREMENTO'!J26+'[4]FFOR ESTIMACIONES'!J26</f>
        <v>155725.51565779193</v>
      </c>
      <c r="J23" s="507">
        <f>'[4]FOFIR  INCREMENTO'!K26+'[4]FFOR ESTIMACIONES'!K26</f>
        <v>155725.51565779193</v>
      </c>
      <c r="K23" s="507">
        <f>'[4]FOFIR  INCREMENTO'!L26+'[4]FFOR ESTIMACIONES'!L26</f>
        <v>269692.96717135882</v>
      </c>
      <c r="L23" s="507">
        <f>'[4]FOFIR  INCREMENTO'!M26+'[4]FFOR ESTIMACIONES'!M26</f>
        <v>155725.51565779198</v>
      </c>
      <c r="M23" s="507">
        <f>'[4]FOFIR  INCREMENTO'!N26+'[4]FFOR ESTIMACIONES'!N26</f>
        <v>155725.51565779198</v>
      </c>
      <c r="N23" s="508">
        <f t="shared" si="0"/>
        <v>2355378.5980745773</v>
      </c>
      <c r="P23" s="509"/>
    </row>
    <row r="24" spans="1:16" ht="13.5" thickBot="1" x14ac:dyDescent="0.25">
      <c r="A24" s="510" t="s">
        <v>264</v>
      </c>
      <c r="B24" s="512">
        <f t="shared" ref="B24:M24" si="1">SUM(B4:B23)</f>
        <v>8600323.0550843012</v>
      </c>
      <c r="C24" s="512">
        <f t="shared" si="1"/>
        <v>3786233.6736040069</v>
      </c>
      <c r="D24" s="512">
        <f t="shared" si="1"/>
        <v>3786233.6736040069</v>
      </c>
      <c r="E24" s="512">
        <f t="shared" si="1"/>
        <v>11720443.243427617</v>
      </c>
      <c r="F24" s="512">
        <f t="shared" si="1"/>
        <v>3786233.6736040069</v>
      </c>
      <c r="G24" s="512">
        <f t="shared" si="1"/>
        <v>3786233.6736040069</v>
      </c>
      <c r="H24" s="512">
        <f t="shared" si="1"/>
        <v>9839176.3666764665</v>
      </c>
      <c r="I24" s="512">
        <f t="shared" si="1"/>
        <v>3786233.6736040059</v>
      </c>
      <c r="J24" s="512">
        <f t="shared" si="1"/>
        <v>3786233.6736040059</v>
      </c>
      <c r="K24" s="512">
        <f t="shared" si="1"/>
        <v>9543633.8618403543</v>
      </c>
      <c r="L24" s="512">
        <f t="shared" si="1"/>
        <v>3786233.6736040064</v>
      </c>
      <c r="M24" s="512">
        <f t="shared" si="1"/>
        <v>3786233.6736040064</v>
      </c>
      <c r="N24" s="512">
        <f t="shared" si="0"/>
        <v>69993445.915860787</v>
      </c>
    </row>
    <row r="25" spans="1:16" x14ac:dyDescent="0.2">
      <c r="A25" s="513"/>
      <c r="B25" s="513"/>
      <c r="C25" s="513"/>
      <c r="D25" s="513"/>
      <c r="E25" s="513"/>
      <c r="F25" s="513"/>
      <c r="G25" s="513"/>
      <c r="H25" s="513"/>
      <c r="I25" s="513"/>
      <c r="J25" s="513"/>
      <c r="K25" s="513"/>
      <c r="L25" s="513"/>
      <c r="M25" s="513"/>
      <c r="N25" s="513"/>
    </row>
    <row r="26" spans="1:16" x14ac:dyDescent="0.2">
      <c r="A26" s="514" t="s">
        <v>265</v>
      </c>
    </row>
  </sheetData>
  <mergeCells count="1">
    <mergeCell ref="A1:N1"/>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FFFF00"/>
  </sheetPr>
  <dimension ref="A1:Q30"/>
  <sheetViews>
    <sheetView workbookViewId="0">
      <selection activeCell="B7" sqref="B7"/>
    </sheetView>
  </sheetViews>
  <sheetFormatPr baseColWidth="10" defaultRowHeight="15" x14ac:dyDescent="0.25"/>
  <cols>
    <col min="1" max="1" width="16.5703125" customWidth="1"/>
    <col min="2" max="2" width="9.28515625" customWidth="1"/>
    <col min="3" max="10" width="7.85546875" customWidth="1"/>
    <col min="11" max="11" width="10.140625" bestFit="1" customWidth="1"/>
    <col min="12" max="12" width="7.85546875" customWidth="1"/>
    <col min="13" max="14" width="10.140625" bestFit="1" customWidth="1"/>
    <col min="15" max="15" width="7.85546875" customWidth="1"/>
    <col min="16" max="16" width="12.7109375" bestFit="1" customWidth="1"/>
  </cols>
  <sheetData>
    <row r="1" spans="1:17" x14ac:dyDescent="0.25">
      <c r="A1" s="1193" t="s">
        <v>324</v>
      </c>
      <c r="B1" s="1193"/>
      <c r="C1" s="1193"/>
      <c r="D1" s="1193"/>
      <c r="E1" s="1193"/>
      <c r="F1" s="1193"/>
      <c r="G1" s="1193"/>
      <c r="H1" s="1193"/>
      <c r="I1" s="1193"/>
      <c r="J1" s="1193"/>
      <c r="K1" s="1193"/>
      <c r="L1" s="1193"/>
      <c r="M1" s="1193"/>
      <c r="N1" s="1193"/>
      <c r="O1" s="1193"/>
      <c r="P1" s="500"/>
      <c r="Q1" s="500"/>
    </row>
    <row r="2" spans="1:17" ht="15.75" thickBot="1" x14ac:dyDescent="0.3">
      <c r="A2" s="500"/>
      <c r="B2" s="500"/>
      <c r="C2" s="500"/>
      <c r="D2" s="500"/>
      <c r="E2" s="500"/>
      <c r="F2" s="500"/>
      <c r="G2" s="500"/>
      <c r="H2" s="500"/>
      <c r="I2" s="500"/>
      <c r="J2" s="500"/>
      <c r="K2" s="500"/>
      <c r="L2" s="500"/>
      <c r="M2" s="500"/>
      <c r="N2" s="500"/>
      <c r="O2" s="500"/>
      <c r="P2" s="500"/>
      <c r="Q2" s="500"/>
    </row>
    <row r="3" spans="1:17" ht="24" thickBot="1" x14ac:dyDescent="0.3">
      <c r="A3" s="501" t="s">
        <v>286</v>
      </c>
      <c r="B3" s="502" t="s">
        <v>257</v>
      </c>
      <c r="C3" s="501" t="s">
        <v>1</v>
      </c>
      <c r="D3" s="503" t="s">
        <v>2</v>
      </c>
      <c r="E3" s="501" t="s">
        <v>3</v>
      </c>
      <c r="F3" s="503" t="s">
        <v>4</v>
      </c>
      <c r="G3" s="501" t="s">
        <v>5</v>
      </c>
      <c r="H3" s="501" t="s">
        <v>6</v>
      </c>
      <c r="I3" s="501" t="s">
        <v>7</v>
      </c>
      <c r="J3" s="503" t="s">
        <v>8</v>
      </c>
      <c r="K3" s="501" t="s">
        <v>9</v>
      </c>
      <c r="L3" s="503" t="s">
        <v>10</v>
      </c>
      <c r="M3" s="501" t="s">
        <v>11</v>
      </c>
      <c r="N3" s="501" t="s">
        <v>12</v>
      </c>
      <c r="O3" s="504" t="s">
        <v>160</v>
      </c>
      <c r="P3" s="500"/>
      <c r="Q3" s="500"/>
    </row>
    <row r="4" spans="1:17" ht="12.75" customHeight="1" x14ac:dyDescent="0.25">
      <c r="A4" s="505" t="s">
        <v>258</v>
      </c>
      <c r="B4" s="506">
        <f>'[2]FGP simpl'!$C$16</f>
        <v>3.6636711021849497</v>
      </c>
      <c r="C4" s="507">
        <f t="shared" ref="C4:C23" si="0">$C$29*B4/100</f>
        <v>26495.964336525285</v>
      </c>
      <c r="D4" s="507">
        <f t="shared" ref="D4:D23" si="1">$D$29*B4/100</f>
        <v>34355.640699795986</v>
      </c>
      <c r="E4" s="507">
        <f t="shared" ref="E4:E23" si="2">$E$29*B4/100</f>
        <v>27055.978446520865</v>
      </c>
      <c r="F4" s="507">
        <f t="shared" ref="F4:F23" si="3">$F$29*B4/100</f>
        <v>23926.746282284919</v>
      </c>
      <c r="G4" s="507">
        <f t="shared" ref="G4:G23" si="4">$G$29*B4/100</f>
        <v>25964.125689141052</v>
      </c>
      <c r="H4" s="507">
        <f t="shared" ref="H4:H23" si="5">$H$29*B4/100</f>
        <v>23113.490982446336</v>
      </c>
      <c r="I4" s="507">
        <f t="shared" ref="I4:I23" si="6">$I$29*B4/100</f>
        <v>24585.242619260553</v>
      </c>
      <c r="J4" s="507">
        <f t="shared" ref="J4:J23" si="7">$J$29*B4/100</f>
        <v>23957.707966769485</v>
      </c>
      <c r="K4" s="507">
        <f t="shared" ref="K4:K23" si="8">$K$29*B4/100</f>
        <v>23186.649914768088</v>
      </c>
      <c r="L4" s="507">
        <f t="shared" ref="L4:L23" si="9">$L$29*B4/100</f>
        <v>23839.516105177448</v>
      </c>
      <c r="M4" s="507">
        <f t="shared" ref="M4:M23" si="10">$M$29*B4/100</f>
        <v>22454.994645470691</v>
      </c>
      <c r="N4" s="507">
        <f t="shared" ref="N4:N23" si="11">$N$29*B4/100</f>
        <v>24315.086259938773</v>
      </c>
      <c r="O4" s="508">
        <f>SUM(C4:N4)</f>
        <v>303251.14394809952</v>
      </c>
      <c r="P4" s="509"/>
      <c r="Q4" s="509"/>
    </row>
    <row r="5" spans="1:17" ht="12.75" customHeight="1" x14ac:dyDescent="0.25">
      <c r="A5" s="505" t="s">
        <v>141</v>
      </c>
      <c r="B5" s="506">
        <v>2.8774681766767136</v>
      </c>
      <c r="C5" s="507">
        <f t="shared" si="0"/>
        <v>20810.081489914217</v>
      </c>
      <c r="D5" s="507">
        <f t="shared" si="1"/>
        <v>26983.116127439902</v>
      </c>
      <c r="E5" s="507">
        <f t="shared" si="2"/>
        <v>21249.91976552831</v>
      </c>
      <c r="F5" s="507">
        <f t="shared" si="3"/>
        <v>18792.202978491361</v>
      </c>
      <c r="G5" s="507">
        <f t="shared" si="4"/>
        <v>20392.372383312853</v>
      </c>
      <c r="H5" s="507">
        <f t="shared" si="5"/>
        <v>18153.467628201968</v>
      </c>
      <c r="I5" s="507">
        <f t="shared" si="6"/>
        <v>19309.389756795652</v>
      </c>
      <c r="J5" s="507">
        <f t="shared" si="7"/>
        <v>18816.520462052453</v>
      </c>
      <c r="K5" s="507">
        <f t="shared" si="8"/>
        <v>18210.927070854981</v>
      </c>
      <c r="L5" s="507">
        <f t="shared" si="9"/>
        <v>18723.691899938771</v>
      </c>
      <c r="M5" s="507">
        <f t="shared" si="10"/>
        <v>17636.280849897674</v>
      </c>
      <c r="N5" s="507">
        <f t="shared" si="11"/>
        <v>19097.20741154865</v>
      </c>
      <c r="O5" s="508">
        <f t="shared" ref="O5:O23" si="12">SUM(C5:N5)</f>
        <v>238175.17782397682</v>
      </c>
      <c r="P5" s="509"/>
      <c r="Q5" s="500"/>
    </row>
    <row r="6" spans="1:17" ht="12.75" customHeight="1" x14ac:dyDescent="0.25">
      <c r="A6" s="505" t="s">
        <v>142</v>
      </c>
      <c r="B6" s="506">
        <v>4.7152682285520395</v>
      </c>
      <c r="C6" s="507">
        <f t="shared" si="0"/>
        <v>34101.199407980748</v>
      </c>
      <c r="D6" s="507">
        <f t="shared" si="1"/>
        <v>44216.867875144613</v>
      </c>
      <c r="E6" s="507">
        <f t="shared" si="2"/>
        <v>34821.956448324301</v>
      </c>
      <c r="F6" s="507">
        <f t="shared" si="3"/>
        <v>30794.529151429349</v>
      </c>
      <c r="G6" s="507">
        <f t="shared" si="4"/>
        <v>33416.705137948877</v>
      </c>
      <c r="H6" s="507">
        <f t="shared" si="5"/>
        <v>29747.842161774763</v>
      </c>
      <c r="I6" s="507">
        <f t="shared" si="6"/>
        <v>31642.036138207539</v>
      </c>
      <c r="J6" s="507">
        <f t="shared" si="7"/>
        <v>30834.377883228841</v>
      </c>
      <c r="K6" s="507">
        <f t="shared" si="8"/>
        <v>29842.000174213663</v>
      </c>
      <c r="L6" s="507">
        <f t="shared" si="9"/>
        <v>30682.260972541637</v>
      </c>
      <c r="M6" s="507">
        <f t="shared" si="10"/>
        <v>28900.335174996566</v>
      </c>
      <c r="N6" s="507">
        <f t="shared" si="11"/>
        <v>31294.335795485295</v>
      </c>
      <c r="O6" s="508">
        <f t="shared" si="12"/>
        <v>390294.44632127619</v>
      </c>
      <c r="P6" s="509"/>
      <c r="Q6" s="500"/>
    </row>
    <row r="7" spans="1:17" ht="12.75" customHeight="1" x14ac:dyDescent="0.25">
      <c r="A7" s="505" t="s">
        <v>259</v>
      </c>
      <c r="B7" s="506">
        <v>9.1392838894846484</v>
      </c>
      <c r="C7" s="507">
        <f t="shared" si="0"/>
        <v>66096.036801106078</v>
      </c>
      <c r="D7" s="507">
        <f t="shared" si="1"/>
        <v>85702.549383680409</v>
      </c>
      <c r="E7" s="507">
        <f t="shared" si="2"/>
        <v>67493.031179317157</v>
      </c>
      <c r="F7" s="507">
        <f t="shared" si="3"/>
        <v>59686.94261203205</v>
      </c>
      <c r="G7" s="507">
        <f t="shared" si="4"/>
        <v>64769.328085647096</v>
      </c>
      <c r="H7" s="507">
        <f t="shared" si="5"/>
        <v>57658.220367991045</v>
      </c>
      <c r="I7" s="507">
        <f t="shared" si="6"/>
        <v>61329.607795655364</v>
      </c>
      <c r="J7" s="507">
        <f t="shared" si="7"/>
        <v>59764.178700182085</v>
      </c>
      <c r="K7" s="507">
        <f t="shared" si="8"/>
        <v>57840.720443159196</v>
      </c>
      <c r="L7" s="507">
        <f t="shared" si="9"/>
        <v>59469.340832265356</v>
      </c>
      <c r="M7" s="507">
        <f t="shared" si="10"/>
        <v>56015.555184367717</v>
      </c>
      <c r="N7" s="507">
        <f t="shared" si="11"/>
        <v>60655.683856107695</v>
      </c>
      <c r="O7" s="508">
        <f t="shared" si="12"/>
        <v>756481.1952415111</v>
      </c>
      <c r="P7" s="509"/>
      <c r="Q7" s="500"/>
    </row>
    <row r="8" spans="1:17" ht="12.75" customHeight="1" x14ac:dyDescent="0.25">
      <c r="A8" s="505" t="s">
        <v>144</v>
      </c>
      <c r="B8" s="506">
        <v>5.3963653133391265</v>
      </c>
      <c r="C8" s="507">
        <f t="shared" si="0"/>
        <v>39026.948353476284</v>
      </c>
      <c r="D8" s="507">
        <f t="shared" si="1"/>
        <v>50603.774907456704</v>
      </c>
      <c r="E8" s="507">
        <f t="shared" si="2"/>
        <v>39851.815169812056</v>
      </c>
      <c r="F8" s="507">
        <f t="shared" si="3"/>
        <v>35242.645995647603</v>
      </c>
      <c r="G8" s="507">
        <f t="shared" si="4"/>
        <v>38243.582284582757</v>
      </c>
      <c r="H8" s="507">
        <f t="shared" si="5"/>
        <v>34044.770267031876</v>
      </c>
      <c r="I8" s="507">
        <f t="shared" si="6"/>
        <v>36212.571158879895</v>
      </c>
      <c r="J8" s="507">
        <f t="shared" si="7"/>
        <v>35288.250678910626</v>
      </c>
      <c r="K8" s="507">
        <f t="shared" si="8"/>
        <v>34152.52893688262</v>
      </c>
      <c r="L8" s="507">
        <f t="shared" si="9"/>
        <v>35114.16123571965</v>
      </c>
      <c r="M8" s="507">
        <f t="shared" si="10"/>
        <v>33074.845103799576</v>
      </c>
      <c r="N8" s="507">
        <f t="shared" si="11"/>
        <v>35814.64722794827</v>
      </c>
      <c r="O8" s="508">
        <f t="shared" si="12"/>
        <v>446670.54132014792</v>
      </c>
      <c r="P8" s="509"/>
      <c r="Q8" s="500"/>
    </row>
    <row r="9" spans="1:17" ht="12.75" customHeight="1" x14ac:dyDescent="0.25">
      <c r="A9" s="505" t="s">
        <v>260</v>
      </c>
      <c r="B9" s="506">
        <v>3.6295907588400458</v>
      </c>
      <c r="C9" s="507">
        <f t="shared" si="0"/>
        <v>26249.492549987299</v>
      </c>
      <c r="D9" s="507">
        <f t="shared" si="1"/>
        <v>34036.056327119913</v>
      </c>
      <c r="E9" s="507">
        <f t="shared" si="2"/>
        <v>26804.297275020555</v>
      </c>
      <c r="F9" s="507">
        <f t="shared" si="3"/>
        <v>23704.173975523991</v>
      </c>
      <c r="G9" s="507">
        <f t="shared" si="4"/>
        <v>25722.601192684906</v>
      </c>
      <c r="H9" s="507">
        <f t="shared" si="5"/>
        <v>22898.483770660503</v>
      </c>
      <c r="I9" s="507">
        <f t="shared" si="6"/>
        <v>24356.544822347929</v>
      </c>
      <c r="J9" s="507">
        <f t="shared" si="7"/>
        <v>23734.847647026945</v>
      </c>
      <c r="K9" s="507">
        <f t="shared" si="8"/>
        <v>22970.962161126092</v>
      </c>
      <c r="L9" s="507">
        <f t="shared" si="9"/>
        <v>23617.755234351385</v>
      </c>
      <c r="M9" s="507">
        <f t="shared" si="10"/>
        <v>22246.112923836557</v>
      </c>
      <c r="N9" s="507">
        <f t="shared" si="11"/>
        <v>24088.901521984139</v>
      </c>
      <c r="O9" s="508">
        <f t="shared" si="12"/>
        <v>300430.22940167016</v>
      </c>
      <c r="P9" s="509"/>
      <c r="Q9" s="500"/>
    </row>
    <row r="10" spans="1:17" ht="12.75" customHeight="1" x14ac:dyDescent="0.25">
      <c r="A10" s="505" t="s">
        <v>146</v>
      </c>
      <c r="B10" s="506">
        <v>4.0700473326514279</v>
      </c>
      <c r="C10" s="507">
        <f t="shared" si="0"/>
        <v>29434.909948545406</v>
      </c>
      <c r="D10" s="507">
        <f t="shared" si="1"/>
        <v>38166.385543818011</v>
      </c>
      <c r="E10" s="507">
        <f t="shared" si="2"/>
        <v>30057.041103625172</v>
      </c>
      <c r="F10" s="507">
        <f t="shared" si="3"/>
        <v>26580.712943136106</v>
      </c>
      <c r="G10" s="507">
        <f t="shared" si="4"/>
        <v>28844.079492477395</v>
      </c>
      <c r="H10" s="507">
        <f t="shared" si="5"/>
        <v>25677.250958816974</v>
      </c>
      <c r="I10" s="507">
        <f t="shared" si="6"/>
        <v>27312.250023053039</v>
      </c>
      <c r="J10" s="507">
        <f t="shared" si="7"/>
        <v>26615.108913144344</v>
      </c>
      <c r="K10" s="507">
        <f t="shared" si="8"/>
        <v>25758.524716490858</v>
      </c>
      <c r="L10" s="507">
        <f t="shared" si="9"/>
        <v>26483.807151169338</v>
      </c>
      <c r="M10" s="507">
        <f t="shared" si="10"/>
        <v>24945.713878900035</v>
      </c>
      <c r="N10" s="507">
        <f t="shared" si="11"/>
        <v>27012.127785278823</v>
      </c>
      <c r="O10" s="508">
        <f t="shared" si="12"/>
        <v>336887.91245845548</v>
      </c>
      <c r="P10" s="509"/>
      <c r="Q10" s="500"/>
    </row>
    <row r="11" spans="1:17" ht="12.75" customHeight="1" x14ac:dyDescent="0.25">
      <c r="A11" s="505" t="s">
        <v>147</v>
      </c>
      <c r="B11" s="506">
        <v>3.2056447774490451</v>
      </c>
      <c r="C11" s="507">
        <f t="shared" si="0"/>
        <v>23183.481084916079</v>
      </c>
      <c r="D11" s="507">
        <f t="shared" si="1"/>
        <v>30060.553230211095</v>
      </c>
      <c r="E11" s="507">
        <f t="shared" si="2"/>
        <v>23673.483123017828</v>
      </c>
      <c r="F11" s="507">
        <f t="shared" si="3"/>
        <v>20935.462578890361</v>
      </c>
      <c r="G11" s="507">
        <f t="shared" si="4"/>
        <v>22718.132057975297</v>
      </c>
      <c r="H11" s="507">
        <f t="shared" si="5"/>
        <v>20223.879161070578</v>
      </c>
      <c r="I11" s="507">
        <f t="shared" si="6"/>
        <v>21511.634752843518</v>
      </c>
      <c r="J11" s="507">
        <f t="shared" si="7"/>
        <v>20962.553482904579</v>
      </c>
      <c r="K11" s="507">
        <f t="shared" si="8"/>
        <v>20287.891880220264</v>
      </c>
      <c r="L11" s="507">
        <f t="shared" si="9"/>
        <v>20859.137779561683</v>
      </c>
      <c r="M11" s="507">
        <f t="shared" si="10"/>
        <v>19647.706987117417</v>
      </c>
      <c r="N11" s="507">
        <f t="shared" si="11"/>
        <v>21275.252911188014</v>
      </c>
      <c r="O11" s="508">
        <f t="shared" si="12"/>
        <v>265339.16902991669</v>
      </c>
      <c r="P11" s="509"/>
      <c r="Q11" s="500"/>
    </row>
    <row r="12" spans="1:17" ht="12.75" customHeight="1" x14ac:dyDescent="0.25">
      <c r="A12" s="505" t="s">
        <v>148</v>
      </c>
      <c r="B12" s="506">
        <v>3.1677886526185874</v>
      </c>
      <c r="C12" s="507">
        <f t="shared" si="0"/>
        <v>22909.702542724161</v>
      </c>
      <c r="D12" s="507">
        <f t="shared" si="1"/>
        <v>29705.561915028306</v>
      </c>
      <c r="E12" s="507">
        <f t="shared" si="2"/>
        <v>23393.918045008832</v>
      </c>
      <c r="F12" s="507">
        <f t="shared" si="3"/>
        <v>20688.23135403814</v>
      </c>
      <c r="G12" s="507">
        <f t="shared" si="4"/>
        <v>22449.848919072458</v>
      </c>
      <c r="H12" s="507">
        <f t="shared" si="5"/>
        <v>19985.051172560008</v>
      </c>
      <c r="I12" s="507">
        <f t="shared" si="6"/>
        <v>21257.599391146679</v>
      </c>
      <c r="J12" s="507">
        <f t="shared" si="7"/>
        <v>20715.002335941419</v>
      </c>
      <c r="K12" s="507">
        <f t="shared" si="8"/>
        <v>20048.307952216986</v>
      </c>
      <c r="L12" s="507">
        <f t="shared" si="9"/>
        <v>20612.807890113614</v>
      </c>
      <c r="M12" s="507">
        <f t="shared" si="10"/>
        <v>19415.683135451465</v>
      </c>
      <c r="N12" s="507">
        <f t="shared" si="11"/>
        <v>21024.009031744077</v>
      </c>
      <c r="O12" s="508">
        <f t="shared" si="12"/>
        <v>262205.72368504619</v>
      </c>
      <c r="P12" s="509"/>
      <c r="Q12" s="500"/>
    </row>
    <row r="13" spans="1:17" ht="12.75" customHeight="1" x14ac:dyDescent="0.25">
      <c r="A13" s="505" t="s">
        <v>149</v>
      </c>
      <c r="B13" s="506">
        <v>2.8145431996763457</v>
      </c>
      <c r="C13" s="507">
        <f t="shared" si="0"/>
        <v>20355.002990786907</v>
      </c>
      <c r="D13" s="507">
        <f t="shared" si="1"/>
        <v>26393.044627959971</v>
      </c>
      <c r="E13" s="507">
        <f t="shared" si="2"/>
        <v>20785.222806116635</v>
      </c>
      <c r="F13" s="507">
        <f t="shared" si="3"/>
        <v>18381.251799328878</v>
      </c>
      <c r="G13" s="507">
        <f t="shared" si="4"/>
        <v>19946.428419934291</v>
      </c>
      <c r="H13" s="507">
        <f t="shared" si="5"/>
        <v>17756.484425315321</v>
      </c>
      <c r="I13" s="507">
        <f t="shared" si="6"/>
        <v>18887.128646773297</v>
      </c>
      <c r="J13" s="507">
        <f t="shared" si="7"/>
        <v>18405.037503909341</v>
      </c>
      <c r="K13" s="507">
        <f t="shared" si="8"/>
        <v>17812.687334833856</v>
      </c>
      <c r="L13" s="507">
        <f t="shared" si="9"/>
        <v>18314.238933016182</v>
      </c>
      <c r="M13" s="507">
        <f t="shared" si="10"/>
        <v>17250.607577870895</v>
      </c>
      <c r="N13" s="507">
        <f t="shared" si="11"/>
        <v>18679.586342136568</v>
      </c>
      <c r="O13" s="508">
        <f t="shared" si="12"/>
        <v>232966.72140798214</v>
      </c>
      <c r="P13" s="509"/>
      <c r="Q13" s="500"/>
    </row>
    <row r="14" spans="1:17" ht="12.75" customHeight="1" x14ac:dyDescent="0.25">
      <c r="A14" s="505" t="s">
        <v>150</v>
      </c>
      <c r="B14" s="506">
        <v>3.814501471077032</v>
      </c>
      <c r="C14" s="507">
        <f t="shared" si="0"/>
        <v>27586.781706197518</v>
      </c>
      <c r="D14" s="507">
        <f t="shared" si="1"/>
        <v>35770.034572975179</v>
      </c>
      <c r="E14" s="507">
        <f t="shared" si="2"/>
        <v>28169.851143060467</v>
      </c>
      <c r="F14" s="507">
        <f t="shared" si="3"/>
        <v>24911.791027702169</v>
      </c>
      <c r="G14" s="507">
        <f t="shared" si="4"/>
        <v>27033.047692897882</v>
      </c>
      <c r="H14" s="507">
        <f t="shared" si="5"/>
        <v>24065.054666530061</v>
      </c>
      <c r="I14" s="507">
        <f t="shared" si="6"/>
        <v>25597.397124983767</v>
      </c>
      <c r="J14" s="507">
        <f t="shared" si="7"/>
        <v>24944.027379634241</v>
      </c>
      <c r="K14" s="507">
        <f t="shared" si="8"/>
        <v>24141.225492780628</v>
      </c>
      <c r="L14" s="507">
        <f t="shared" si="9"/>
        <v>24820.969654926554</v>
      </c>
      <c r="M14" s="507">
        <f t="shared" si="10"/>
        <v>23379.44856924846</v>
      </c>
      <c r="N14" s="507">
        <f t="shared" si="11"/>
        <v>25316.118647382656</v>
      </c>
      <c r="O14" s="508">
        <f t="shared" si="12"/>
        <v>315735.74767831952</v>
      </c>
      <c r="P14" s="509"/>
      <c r="Q14" s="500"/>
    </row>
    <row r="15" spans="1:17" ht="12.75" customHeight="1" x14ac:dyDescent="0.25">
      <c r="A15" s="505" t="s">
        <v>151</v>
      </c>
      <c r="B15" s="506">
        <v>3.0792318274418586</v>
      </c>
      <c r="C15" s="507">
        <f t="shared" si="0"/>
        <v>22269.252454221631</v>
      </c>
      <c r="D15" s="507">
        <f t="shared" si="1"/>
        <v>28875.130803056523</v>
      </c>
      <c r="E15" s="507">
        <f t="shared" si="2"/>
        <v>22739.931514437081</v>
      </c>
      <c r="F15" s="507">
        <f t="shared" si="3"/>
        <v>20109.883399631264</v>
      </c>
      <c r="G15" s="507">
        <f t="shared" si="4"/>
        <v>21822.25422637512</v>
      </c>
      <c r="H15" s="507">
        <f t="shared" si="5"/>
        <v>19426.360907231414</v>
      </c>
      <c r="I15" s="507">
        <f t="shared" si="6"/>
        <v>20663.334520792218</v>
      </c>
      <c r="J15" s="507">
        <f t="shared" si="7"/>
        <v>20135.905987804974</v>
      </c>
      <c r="K15" s="507">
        <f t="shared" si="8"/>
        <v>19487.849317785647</v>
      </c>
      <c r="L15" s="507">
        <f t="shared" si="9"/>
        <v>20036.568429435785</v>
      </c>
      <c r="M15" s="507">
        <f t="shared" si="10"/>
        <v>18872.909786070457</v>
      </c>
      <c r="N15" s="507">
        <f t="shared" si="11"/>
        <v>20436.274275260534</v>
      </c>
      <c r="O15" s="508">
        <f t="shared" si="12"/>
        <v>254875.65562210264</v>
      </c>
      <c r="P15" s="509"/>
      <c r="Q15" s="500"/>
    </row>
    <row r="16" spans="1:17" ht="12.75" customHeight="1" x14ac:dyDescent="0.25">
      <c r="A16" s="505" t="s">
        <v>152</v>
      </c>
      <c r="B16" s="506">
        <v>3.9687689066587866</v>
      </c>
      <c r="C16" s="507">
        <f t="shared" si="0"/>
        <v>28702.456218853331</v>
      </c>
      <c r="D16" s="507">
        <f t="shared" si="1"/>
        <v>37216.659130885106</v>
      </c>
      <c r="E16" s="507">
        <f t="shared" si="2"/>
        <v>29309.106358849564</v>
      </c>
      <c r="F16" s="507">
        <f t="shared" si="3"/>
        <v>25919.282608641857</v>
      </c>
      <c r="G16" s="507">
        <f t="shared" si="4"/>
        <v>28126.327896133753</v>
      </c>
      <c r="H16" s="507">
        <f t="shared" si="5"/>
        <v>25038.302232087324</v>
      </c>
      <c r="I16" s="507">
        <f t="shared" si="6"/>
        <v>26632.616233425753</v>
      </c>
      <c r="J16" s="507">
        <f t="shared" si="7"/>
        <v>25952.822674672032</v>
      </c>
      <c r="K16" s="507">
        <f t="shared" si="8"/>
        <v>25117.553586192167</v>
      </c>
      <c r="L16" s="507">
        <f t="shared" si="9"/>
        <v>25824.788205358764</v>
      </c>
      <c r="M16" s="507">
        <f t="shared" si="10"/>
        <v>24324.968607303425</v>
      </c>
      <c r="N16" s="507">
        <f t="shared" si="11"/>
        <v>26339.962190825423</v>
      </c>
      <c r="O16" s="508">
        <f t="shared" si="12"/>
        <v>328504.84594322852</v>
      </c>
      <c r="P16" s="509"/>
      <c r="Q16" s="500"/>
    </row>
    <row r="17" spans="1:16" ht="12.75" customHeight="1" x14ac:dyDescent="0.25">
      <c r="A17" s="505" t="s">
        <v>261</v>
      </c>
      <c r="B17" s="506">
        <v>2.5568285677800717</v>
      </c>
      <c r="C17" s="507">
        <f t="shared" si="0"/>
        <v>18491.190026885186</v>
      </c>
      <c r="D17" s="507">
        <f t="shared" si="1"/>
        <v>23976.3562709652</v>
      </c>
      <c r="E17" s="507">
        <f t="shared" si="2"/>
        <v>18882.016614441774</v>
      </c>
      <c r="F17" s="507">
        <f t="shared" si="3"/>
        <v>16698.166053193767</v>
      </c>
      <c r="G17" s="507">
        <f t="shared" si="4"/>
        <v>18120.026729429108</v>
      </c>
      <c r="H17" s="507">
        <f t="shared" si="5"/>
        <v>16130.605722167937</v>
      </c>
      <c r="I17" s="507">
        <f t="shared" si="6"/>
        <v>17157.722110273706</v>
      </c>
      <c r="J17" s="507">
        <f t="shared" si="7"/>
        <v>16719.773811420073</v>
      </c>
      <c r="K17" s="507">
        <f t="shared" si="8"/>
        <v>16181.662392630797</v>
      </c>
      <c r="L17" s="507">
        <f t="shared" si="9"/>
        <v>16637.289243409203</v>
      </c>
      <c r="M17" s="507">
        <f t="shared" si="10"/>
        <v>15671.049665087994</v>
      </c>
      <c r="N17" s="507">
        <f t="shared" si="11"/>
        <v>16969.183489307034</v>
      </c>
      <c r="O17" s="508">
        <f t="shared" si="12"/>
        <v>211635.0421292118</v>
      </c>
      <c r="P17" s="509"/>
    </row>
    <row r="18" spans="1:16" ht="12.75" customHeight="1" x14ac:dyDescent="0.25">
      <c r="A18" s="505" t="s">
        <v>262</v>
      </c>
      <c r="B18" s="506">
        <v>3.0448340829893383</v>
      </c>
      <c r="C18" s="507">
        <f t="shared" si="0"/>
        <v>22020.485197322578</v>
      </c>
      <c r="D18" s="507">
        <f t="shared" si="1"/>
        <v>28552.570039185164</v>
      </c>
      <c r="E18" s="507">
        <f t="shared" si="2"/>
        <v>22485.906355911997</v>
      </c>
      <c r="F18" s="507">
        <f t="shared" si="3"/>
        <v>19885.238205987247</v>
      </c>
      <c r="G18" s="507">
        <f t="shared" si="4"/>
        <v>21578.480335248387</v>
      </c>
      <c r="H18" s="507">
        <f t="shared" si="5"/>
        <v>19209.351264704917</v>
      </c>
      <c r="I18" s="507">
        <f t="shared" si="6"/>
        <v>20432.506788352974</v>
      </c>
      <c r="J18" s="507">
        <f t="shared" si="7"/>
        <v>19910.970098822589</v>
      </c>
      <c r="K18" s="507">
        <f t="shared" si="8"/>
        <v>19270.152795299611</v>
      </c>
      <c r="L18" s="507">
        <f t="shared" si="9"/>
        <v>19812.74222888831</v>
      </c>
      <c r="M18" s="507">
        <f t="shared" si="10"/>
        <v>18662.082682339187</v>
      </c>
      <c r="N18" s="507">
        <f t="shared" si="11"/>
        <v>20207.983006698909</v>
      </c>
      <c r="O18" s="508">
        <f t="shared" si="12"/>
        <v>252028.46899876185</v>
      </c>
      <c r="P18" s="509"/>
    </row>
    <row r="19" spans="1:16" ht="12.75" customHeight="1" x14ac:dyDescent="0.25">
      <c r="A19" s="505" t="s">
        <v>263</v>
      </c>
      <c r="B19" s="506">
        <v>6.4580166897572191</v>
      </c>
      <c r="C19" s="507">
        <f t="shared" si="0"/>
        <v>46704.896570667734</v>
      </c>
      <c r="D19" s="507">
        <f t="shared" si="1"/>
        <v>60559.284618716418</v>
      </c>
      <c r="E19" s="507">
        <f t="shared" si="2"/>
        <v>47692.043169797267</v>
      </c>
      <c r="F19" s="507">
        <f t="shared" si="3"/>
        <v>42176.091279162552</v>
      </c>
      <c r="G19" s="507">
        <f t="shared" si="4"/>
        <v>45767.41534889079</v>
      </c>
      <c r="H19" s="507">
        <f t="shared" si="5"/>
        <v>40742.552035899454</v>
      </c>
      <c r="I19" s="507">
        <f t="shared" si="6"/>
        <v>43336.834210425259</v>
      </c>
      <c r="J19" s="507">
        <f t="shared" si="7"/>
        <v>42230.66797820769</v>
      </c>
      <c r="K19" s="507">
        <f t="shared" si="8"/>
        <v>40871.510556673042</v>
      </c>
      <c r="L19" s="507">
        <f t="shared" si="9"/>
        <v>42022.329130787773</v>
      </c>
      <c r="M19" s="507">
        <f t="shared" si="10"/>
        <v>39581.809104636734</v>
      </c>
      <c r="N19" s="507">
        <f t="shared" si="11"/>
        <v>42860.62490323509</v>
      </c>
      <c r="O19" s="508">
        <f t="shared" si="12"/>
        <v>534546.05890709977</v>
      </c>
      <c r="P19" s="509"/>
    </row>
    <row r="20" spans="1:16" ht="12.75" customHeight="1" x14ac:dyDescent="0.25">
      <c r="A20" s="505" t="s">
        <v>156</v>
      </c>
      <c r="B20" s="506">
        <v>3.6739352083662298</v>
      </c>
      <c r="C20" s="507">
        <f t="shared" si="0"/>
        <v>26570.195178688849</v>
      </c>
      <c r="D20" s="507">
        <f t="shared" si="1"/>
        <v>34451.891136648323</v>
      </c>
      <c r="E20" s="507">
        <f t="shared" si="2"/>
        <v>27131.778218898875</v>
      </c>
      <c r="F20" s="507">
        <f t="shared" si="3"/>
        <v>23993.779227536874</v>
      </c>
      <c r="G20" s="507">
        <f t="shared" si="4"/>
        <v>26036.866537198759</v>
      </c>
      <c r="H20" s="507">
        <f t="shared" si="5"/>
        <v>23178.24551937035</v>
      </c>
      <c r="I20" s="507">
        <f t="shared" si="6"/>
        <v>24654.120401599183</v>
      </c>
      <c r="J20" s="507">
        <f t="shared" si="7"/>
        <v>24024.827653982775</v>
      </c>
      <c r="K20" s="507">
        <f t="shared" si="8"/>
        <v>23251.609413062411</v>
      </c>
      <c r="L20" s="507">
        <f t="shared" si="9"/>
        <v>23906.304667193275</v>
      </c>
      <c r="M20" s="507">
        <f t="shared" si="10"/>
        <v>22517.904345308034</v>
      </c>
      <c r="N20" s="507">
        <f t="shared" si="11"/>
        <v>24383.207174785672</v>
      </c>
      <c r="O20" s="508">
        <f t="shared" si="12"/>
        <v>304100.72947427334</v>
      </c>
      <c r="P20" s="509"/>
    </row>
    <row r="21" spans="1:16" ht="12.75" customHeight="1" x14ac:dyDescent="0.25">
      <c r="A21" s="505" t="s">
        <v>157</v>
      </c>
      <c r="B21" s="506">
        <v>21.979340072457017</v>
      </c>
      <c r="C21" s="507">
        <f t="shared" si="0"/>
        <v>158956.35674088498</v>
      </c>
      <c r="D21" s="507">
        <f t="shared" si="1"/>
        <v>206108.65148283207</v>
      </c>
      <c r="E21" s="507">
        <f t="shared" si="2"/>
        <v>162316.03074700048</v>
      </c>
      <c r="F21" s="507">
        <f t="shared" si="3"/>
        <v>143542.93240244815</v>
      </c>
      <c r="G21" s="507">
        <f t="shared" si="4"/>
        <v>155765.71484959673</v>
      </c>
      <c r="H21" s="507">
        <f t="shared" si="5"/>
        <v>138663.99695700925</v>
      </c>
      <c r="I21" s="507">
        <f t="shared" si="6"/>
        <v>147493.42755421629</v>
      </c>
      <c r="J21" s="507">
        <f t="shared" si="7"/>
        <v>143728.67980540049</v>
      </c>
      <c r="K21" s="507">
        <f t="shared" si="8"/>
        <v>139102.89690408114</v>
      </c>
      <c r="L21" s="507">
        <f t="shared" si="9"/>
        <v>143019.61530499297</v>
      </c>
      <c r="M21" s="507">
        <f t="shared" si="10"/>
        <v>134713.50180524107</v>
      </c>
      <c r="N21" s="507">
        <f t="shared" si="11"/>
        <v>145872.68750177842</v>
      </c>
      <c r="O21" s="508">
        <f t="shared" si="12"/>
        <v>1819284.4920554818</v>
      </c>
      <c r="P21" s="509"/>
    </row>
    <row r="22" spans="1:16" ht="12.75" customHeight="1" x14ac:dyDescent="0.25">
      <c r="A22" s="505" t="s">
        <v>158</v>
      </c>
      <c r="B22" s="506">
        <v>3.7144952969630278</v>
      </c>
      <c r="C22" s="507">
        <f t="shared" si="0"/>
        <v>26863.529004508026</v>
      </c>
      <c r="D22" s="507">
        <f t="shared" si="1"/>
        <v>34832.23855095428</v>
      </c>
      <c r="E22" s="507">
        <f t="shared" si="2"/>
        <v>27431.311897620606</v>
      </c>
      <c r="F22" s="507">
        <f t="shared" si="3"/>
        <v>24258.669530725885</v>
      </c>
      <c r="G22" s="507">
        <f t="shared" si="4"/>
        <v>26324.312437476736</v>
      </c>
      <c r="H22" s="507">
        <f t="shared" si="5"/>
        <v>23434.132365072797</v>
      </c>
      <c r="I22" s="507">
        <f t="shared" si="6"/>
        <v>24926.300843292298</v>
      </c>
      <c r="J22" s="507">
        <f t="shared" si="7"/>
        <v>24290.06073048052</v>
      </c>
      <c r="K22" s="507">
        <f t="shared" si="8"/>
        <v>23508.30619303403</v>
      </c>
      <c r="L22" s="507">
        <f t="shared" si="9"/>
        <v>24170.229254952843</v>
      </c>
      <c r="M22" s="507">
        <f t="shared" si="10"/>
        <v>22766.501052506381</v>
      </c>
      <c r="N22" s="507">
        <f t="shared" si="11"/>
        <v>24652.396745965721</v>
      </c>
      <c r="O22" s="508">
        <f t="shared" si="12"/>
        <v>307457.98860659008</v>
      </c>
      <c r="P22" s="509"/>
    </row>
    <row r="23" spans="1:16" ht="12.75" customHeight="1" thickBot="1" x14ac:dyDescent="0.3">
      <c r="A23" s="505" t="s">
        <v>159</v>
      </c>
      <c r="B23" s="506">
        <v>5.0303764450364916</v>
      </c>
      <c r="C23" s="507">
        <f t="shared" si="0"/>
        <v>36380.087395807735</v>
      </c>
      <c r="D23" s="507">
        <f t="shared" si="1"/>
        <v>47171.757756126848</v>
      </c>
      <c r="E23" s="507">
        <f t="shared" si="2"/>
        <v>37149.010617690234</v>
      </c>
      <c r="F23" s="507">
        <f t="shared" si="3"/>
        <v>32852.441594167554</v>
      </c>
      <c r="G23" s="507">
        <f t="shared" si="4"/>
        <v>35649.850283975786</v>
      </c>
      <c r="H23" s="507">
        <f t="shared" si="5"/>
        <v>31735.807434057129</v>
      </c>
      <c r="I23" s="507">
        <f t="shared" si="6"/>
        <v>33756.585107674953</v>
      </c>
      <c r="J23" s="507">
        <f t="shared" si="7"/>
        <v>32894.953305504554</v>
      </c>
      <c r="K23" s="507">
        <f t="shared" si="8"/>
        <v>31836.257763693946</v>
      </c>
      <c r="L23" s="507">
        <f t="shared" si="9"/>
        <v>32732.670846199449</v>
      </c>
      <c r="M23" s="507">
        <f t="shared" si="10"/>
        <v>30831.663920549719</v>
      </c>
      <c r="N23" s="507">
        <f t="shared" si="11"/>
        <v>33385.648921400309</v>
      </c>
      <c r="O23" s="508">
        <f t="shared" si="12"/>
        <v>416376.73494684818</v>
      </c>
      <c r="P23" s="509"/>
    </row>
    <row r="24" spans="1:16" ht="15.75" thickBot="1" x14ac:dyDescent="0.3">
      <c r="A24" s="510" t="s">
        <v>264</v>
      </c>
      <c r="B24" s="515">
        <f>SUM(B4:B23)</f>
        <v>100</v>
      </c>
      <c r="C24" s="512">
        <f>SUM(C4:C23)</f>
        <v>723208.05000000016</v>
      </c>
      <c r="D24" s="512">
        <f t="shared" ref="D24:N24" si="13">SUM(D4:D23)</f>
        <v>937738.125</v>
      </c>
      <c r="E24" s="512">
        <f t="shared" si="13"/>
        <v>738493.65</v>
      </c>
      <c r="F24" s="512">
        <f t="shared" si="13"/>
        <v>653081.17500000005</v>
      </c>
      <c r="G24" s="512">
        <f t="shared" si="13"/>
        <v>708691.50000000012</v>
      </c>
      <c r="H24" s="512">
        <f t="shared" si="13"/>
        <v>630883.35</v>
      </c>
      <c r="I24" s="512">
        <f t="shared" si="13"/>
        <v>671054.84999999986</v>
      </c>
      <c r="J24" s="512">
        <f t="shared" si="13"/>
        <v>653926.27500000002</v>
      </c>
      <c r="K24" s="512">
        <f t="shared" si="13"/>
        <v>632880.22499999998</v>
      </c>
      <c r="L24" s="512">
        <f t="shared" si="13"/>
        <v>650700.22500000009</v>
      </c>
      <c r="M24" s="512">
        <f t="shared" si="13"/>
        <v>612909.67500000005</v>
      </c>
      <c r="N24" s="512">
        <f t="shared" si="13"/>
        <v>663680.92500000016</v>
      </c>
      <c r="O24" s="512">
        <f>SUM(C24:N24)</f>
        <v>8277248.0249999985</v>
      </c>
      <c r="P24" s="500"/>
    </row>
    <row r="25" spans="1:16" x14ac:dyDescent="0.25">
      <c r="A25" s="513"/>
      <c r="B25" s="513"/>
      <c r="C25" s="513"/>
      <c r="D25" s="513"/>
      <c r="E25" s="513"/>
      <c r="F25" s="513"/>
      <c r="G25" s="513"/>
      <c r="H25" s="513"/>
      <c r="I25" s="513"/>
      <c r="J25" s="513"/>
      <c r="K25" s="513"/>
      <c r="L25" s="513"/>
      <c r="M25" s="513"/>
      <c r="N25" s="513"/>
      <c r="O25" s="513"/>
      <c r="P25" s="500"/>
    </row>
    <row r="26" spans="1:16" x14ac:dyDescent="0.25">
      <c r="A26" s="514" t="s">
        <v>265</v>
      </c>
      <c r="B26" s="500"/>
      <c r="C26" s="500"/>
      <c r="D26" s="500"/>
      <c r="E26" s="500"/>
      <c r="F26" s="500"/>
      <c r="G26" s="500"/>
      <c r="H26" s="500"/>
      <c r="I26" s="500"/>
      <c r="J26" s="500"/>
      <c r="K26" s="500"/>
      <c r="L26" s="500"/>
      <c r="M26" s="500"/>
      <c r="N26" s="500"/>
      <c r="O26" s="509"/>
      <c r="P26" s="500"/>
    </row>
    <row r="29" spans="1:16" hidden="1" x14ac:dyDescent="0.25">
      <c r="A29" s="500" t="s">
        <v>287</v>
      </c>
      <c r="B29" s="500"/>
      <c r="C29" s="509">
        <v>723208.05</v>
      </c>
      <c r="D29" s="509">
        <v>937738.125</v>
      </c>
      <c r="E29" s="509">
        <v>738493.65</v>
      </c>
      <c r="F29" s="509">
        <v>653081.17500000005</v>
      </c>
      <c r="G29" s="509">
        <v>708691.5</v>
      </c>
      <c r="H29" s="509">
        <v>630883.35</v>
      </c>
      <c r="I29" s="509">
        <v>671054.84999999986</v>
      </c>
      <c r="J29" s="509">
        <v>653926.27500000002</v>
      </c>
      <c r="K29" s="509">
        <v>632880.22499999998</v>
      </c>
      <c r="L29" s="509">
        <v>650700.22499999998</v>
      </c>
      <c r="M29" s="509">
        <v>612909.67500000005</v>
      </c>
      <c r="N29" s="509">
        <v>663680.92500000005</v>
      </c>
      <c r="O29" s="509">
        <f>SUM(C29:N29)</f>
        <v>8277248.0249999985</v>
      </c>
      <c r="P29" s="500"/>
    </row>
    <row r="30" spans="1:16" x14ac:dyDescent="0.25">
      <c r="A30" s="500"/>
      <c r="B30" s="500"/>
      <c r="C30" s="500"/>
      <c r="D30" s="500"/>
      <c r="E30" s="500"/>
      <c r="F30" s="500"/>
      <c r="G30" s="500"/>
      <c r="H30" s="500"/>
      <c r="I30" s="500"/>
      <c r="J30" s="500"/>
      <c r="K30" s="500"/>
      <c r="L30" s="500"/>
      <c r="M30" s="500"/>
      <c r="N30" s="500"/>
      <c r="O30" s="500"/>
      <c r="P30" s="500"/>
    </row>
  </sheetData>
  <mergeCells count="1">
    <mergeCell ref="A1:O1"/>
  </mergeCells>
  <printOptions horizontalCentered="1"/>
  <pageMargins left="0.70866141732283472" right="0.47244094488188981" top="0.98425196850393704" bottom="0.98425196850393704" header="0" footer="0"/>
  <pageSetup paperSize="5"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rgb="FFFFFF00"/>
    <pageSetUpPr fitToPage="1"/>
  </sheetPr>
  <dimension ref="A1:W30"/>
  <sheetViews>
    <sheetView zoomScaleNormal="100" workbookViewId="0">
      <selection activeCell="H35" sqref="H35"/>
    </sheetView>
  </sheetViews>
  <sheetFormatPr baseColWidth="10" defaultRowHeight="15" x14ac:dyDescent="0.25"/>
  <cols>
    <col min="1" max="1" width="3.7109375" style="854" customWidth="1"/>
    <col min="2" max="2" width="18.5703125" style="854" customWidth="1"/>
    <col min="3" max="3" width="11.140625" style="854" customWidth="1"/>
    <col min="4" max="15" width="12.7109375" style="854" bestFit="1" customWidth="1"/>
    <col min="16" max="16" width="13.7109375" style="854" bestFit="1" customWidth="1"/>
    <col min="17" max="18" width="14.28515625" style="854" customWidth="1"/>
    <col min="19" max="19" width="11.42578125" style="854"/>
    <col min="20" max="21" width="13.7109375" style="857" customWidth="1"/>
    <col min="22" max="23" width="11.42578125" style="857" customWidth="1"/>
    <col min="24" max="16384" width="11.42578125" style="854"/>
  </cols>
  <sheetData>
    <row r="1" spans="1:23" ht="15.75" x14ac:dyDescent="0.25">
      <c r="A1" s="1197" t="s">
        <v>384</v>
      </c>
      <c r="B1" s="1197"/>
      <c r="C1" s="1197"/>
      <c r="D1" s="1197"/>
      <c r="E1" s="1197"/>
      <c r="F1" s="1197"/>
      <c r="G1" s="1197"/>
      <c r="H1" s="1197"/>
      <c r="I1" s="1197"/>
      <c r="J1" s="1197"/>
      <c r="K1" s="1197"/>
      <c r="L1" s="1197"/>
      <c r="M1" s="1197"/>
      <c r="N1" s="1197"/>
      <c r="O1" s="1197"/>
      <c r="P1" s="1197"/>
      <c r="Q1" s="860"/>
      <c r="R1" s="860"/>
    </row>
    <row r="3" spans="1:23" ht="34.5" customHeight="1" x14ac:dyDescent="0.25">
      <c r="A3" s="872" t="s">
        <v>345</v>
      </c>
      <c r="B3" s="872" t="s">
        <v>288</v>
      </c>
      <c r="C3" s="877" t="s">
        <v>386</v>
      </c>
      <c r="D3" s="872" t="s">
        <v>1</v>
      </c>
      <c r="E3" s="872" t="s">
        <v>2</v>
      </c>
      <c r="F3" s="872" t="s">
        <v>3</v>
      </c>
      <c r="G3" s="872" t="s">
        <v>4</v>
      </c>
      <c r="H3" s="872" t="s">
        <v>5</v>
      </c>
      <c r="I3" s="872" t="s">
        <v>6</v>
      </c>
      <c r="J3" s="872" t="s">
        <v>7</v>
      </c>
      <c r="K3" s="872" t="s">
        <v>8</v>
      </c>
      <c r="L3" s="872" t="s">
        <v>9</v>
      </c>
      <c r="M3" s="872" t="s">
        <v>10</v>
      </c>
      <c r="N3" s="872" t="s">
        <v>11</v>
      </c>
      <c r="O3" s="872" t="s">
        <v>12</v>
      </c>
      <c r="P3" s="872" t="s">
        <v>160</v>
      </c>
      <c r="Q3" s="862"/>
      <c r="R3" s="862"/>
      <c r="T3" s="858"/>
    </row>
    <row r="4" spans="1:23" ht="12.75" customHeight="1" x14ac:dyDescent="0.25">
      <c r="A4" s="866">
        <v>1</v>
      </c>
      <c r="B4" s="867" t="s">
        <v>258</v>
      </c>
      <c r="C4" s="954">
        <f>P4/$P$24*100</f>
        <v>0.47644403382627226</v>
      </c>
      <c r="D4" s="868">
        <v>0</v>
      </c>
      <c r="E4" s="868">
        <v>0</v>
      </c>
      <c r="F4" s="868">
        <v>0</v>
      </c>
      <c r="G4" s="868">
        <v>400501</v>
      </c>
      <c r="H4" s="868">
        <v>340288</v>
      </c>
      <c r="I4" s="868">
        <v>359270</v>
      </c>
      <c r="J4" s="868">
        <v>0</v>
      </c>
      <c r="K4" s="868">
        <v>-13897</v>
      </c>
      <c r="L4" s="868">
        <v>36224</v>
      </c>
      <c r="M4" s="868">
        <v>0</v>
      </c>
      <c r="N4" s="868">
        <v>0</v>
      </c>
      <c r="O4" s="868">
        <v>-24125</v>
      </c>
      <c r="P4" s="868">
        <f>SUM(D4:O4)</f>
        <v>1098261</v>
      </c>
      <c r="Q4" s="861"/>
      <c r="R4" s="874">
        <f>ROUND(C4,6)</f>
        <v>0.47644399999999998</v>
      </c>
      <c r="S4" s="876">
        <v>9.4060000000000005E-2</v>
      </c>
      <c r="T4" s="859"/>
      <c r="U4" s="856"/>
      <c r="V4" s="856"/>
      <c r="W4" s="873"/>
    </row>
    <row r="5" spans="1:23" ht="12.75" customHeight="1" x14ac:dyDescent="0.25">
      <c r="A5" s="866">
        <v>2</v>
      </c>
      <c r="B5" s="867" t="s">
        <v>141</v>
      </c>
      <c r="C5" s="954">
        <f t="shared" ref="C5:C23" si="0">P5/$P$24*100</f>
        <v>2.5216284879209514</v>
      </c>
      <c r="D5" s="868">
        <v>308503</v>
      </c>
      <c r="E5" s="868">
        <v>534998</v>
      </c>
      <c r="F5" s="868">
        <v>691375</v>
      </c>
      <c r="G5" s="868">
        <v>25307</v>
      </c>
      <c r="H5" s="868">
        <v>435256</v>
      </c>
      <c r="I5" s="868">
        <v>371696</v>
      </c>
      <c r="J5" s="868">
        <v>863881</v>
      </c>
      <c r="K5" s="868">
        <v>-197623</v>
      </c>
      <c r="L5" s="868">
        <v>782260</v>
      </c>
      <c r="M5" s="868">
        <v>371644</v>
      </c>
      <c r="N5" s="868">
        <v>23879</v>
      </c>
      <c r="O5" s="868">
        <v>1601482</v>
      </c>
      <c r="P5" s="868">
        <f t="shared" ref="P5:P23" si="1">SUM(D5:O5)</f>
        <v>5812658</v>
      </c>
      <c r="Q5" s="861"/>
      <c r="R5" s="874">
        <f t="shared" ref="R5:R23" si="2">ROUND(C5,6)</f>
        <v>2.5216280000000002</v>
      </c>
      <c r="S5" s="876">
        <v>2.3797139999999999</v>
      </c>
      <c r="T5" s="859"/>
      <c r="U5" s="856"/>
      <c r="V5" s="856"/>
      <c r="W5" s="873"/>
    </row>
    <row r="6" spans="1:23" ht="12.75" customHeight="1" x14ac:dyDescent="0.25">
      <c r="A6" s="866">
        <v>3</v>
      </c>
      <c r="B6" s="867" t="s">
        <v>142</v>
      </c>
      <c r="C6" s="954">
        <f t="shared" si="0"/>
        <v>1.908158656976872</v>
      </c>
      <c r="D6" s="868">
        <v>293045</v>
      </c>
      <c r="E6" s="868">
        <v>851823</v>
      </c>
      <c r="F6" s="868">
        <v>335200</v>
      </c>
      <c r="G6" s="868">
        <v>322085</v>
      </c>
      <c r="H6" s="868">
        <v>337406</v>
      </c>
      <c r="I6" s="868">
        <v>445534</v>
      </c>
      <c r="J6" s="868">
        <v>355218</v>
      </c>
      <c r="K6" s="868">
        <v>135484</v>
      </c>
      <c r="L6" s="868">
        <v>341740</v>
      </c>
      <c r="M6" s="868">
        <v>325945</v>
      </c>
      <c r="N6" s="868">
        <v>287777</v>
      </c>
      <c r="O6" s="868">
        <v>367279</v>
      </c>
      <c r="P6" s="868">
        <f t="shared" si="1"/>
        <v>4398536</v>
      </c>
      <c r="Q6" s="861"/>
      <c r="R6" s="874">
        <f t="shared" si="2"/>
        <v>1.9081589999999999</v>
      </c>
      <c r="S6" s="876">
        <v>1.5957730000000001</v>
      </c>
      <c r="T6" s="859"/>
      <c r="U6" s="856"/>
      <c r="V6" s="856"/>
      <c r="W6" s="873"/>
    </row>
    <row r="7" spans="1:23" ht="12.75" customHeight="1" x14ac:dyDescent="0.25">
      <c r="A7" s="866">
        <v>4</v>
      </c>
      <c r="B7" s="867" t="s">
        <v>349</v>
      </c>
      <c r="C7" s="954">
        <f t="shared" si="0"/>
        <v>27.377653271595076</v>
      </c>
      <c r="D7" s="868">
        <v>922012</v>
      </c>
      <c r="E7" s="868">
        <v>8457823</v>
      </c>
      <c r="F7" s="868">
        <v>5623901</v>
      </c>
      <c r="G7" s="868">
        <v>4482596</v>
      </c>
      <c r="H7" s="868">
        <v>5525200</v>
      </c>
      <c r="I7" s="868">
        <v>7698184</v>
      </c>
      <c r="J7" s="868">
        <v>3828186</v>
      </c>
      <c r="K7" s="868">
        <v>4673339</v>
      </c>
      <c r="L7" s="868">
        <v>10640499</v>
      </c>
      <c r="M7" s="868">
        <v>6219565</v>
      </c>
      <c r="N7" s="868">
        <v>370298</v>
      </c>
      <c r="O7" s="868">
        <v>4667192</v>
      </c>
      <c r="P7" s="868">
        <f t="shared" si="1"/>
        <v>63108795</v>
      </c>
      <c r="Q7" s="861"/>
      <c r="R7" s="874">
        <f t="shared" si="2"/>
        <v>27.377652999999999</v>
      </c>
      <c r="S7" s="876">
        <v>29.196318999999999</v>
      </c>
      <c r="T7" s="859"/>
      <c r="U7" s="856"/>
      <c r="V7" s="856"/>
      <c r="W7" s="873"/>
    </row>
    <row r="8" spans="1:23" ht="12.75" customHeight="1" x14ac:dyDescent="0.25">
      <c r="A8" s="866">
        <v>5</v>
      </c>
      <c r="B8" s="867" t="s">
        <v>144</v>
      </c>
      <c r="C8" s="954">
        <f t="shared" si="0"/>
        <v>10.574331793447222</v>
      </c>
      <c r="D8" s="868">
        <v>103388</v>
      </c>
      <c r="E8" s="868">
        <v>4311596</v>
      </c>
      <c r="F8" s="868">
        <v>1437549</v>
      </c>
      <c r="G8" s="868">
        <v>901557</v>
      </c>
      <c r="H8" s="868">
        <v>1878509</v>
      </c>
      <c r="I8" s="868">
        <v>1600466</v>
      </c>
      <c r="J8" s="868">
        <v>4259705</v>
      </c>
      <c r="K8" s="868">
        <v>1491144</v>
      </c>
      <c r="L8" s="868">
        <v>1788977</v>
      </c>
      <c r="M8" s="868">
        <v>4547600</v>
      </c>
      <c r="N8" s="868">
        <v>1928250</v>
      </c>
      <c r="O8" s="868">
        <v>126370</v>
      </c>
      <c r="P8" s="868">
        <f t="shared" si="1"/>
        <v>24375111</v>
      </c>
      <c r="Q8" s="861"/>
      <c r="R8" s="874">
        <f t="shared" si="2"/>
        <v>10.574332</v>
      </c>
      <c r="S8" s="876">
        <v>4.9400649999999997</v>
      </c>
      <c r="T8" s="859"/>
      <c r="U8" s="856"/>
      <c r="V8" s="856"/>
      <c r="W8" s="873"/>
    </row>
    <row r="9" spans="1:23" ht="12.75" customHeight="1" x14ac:dyDescent="0.25">
      <c r="A9" s="866">
        <v>6</v>
      </c>
      <c r="B9" s="867" t="s">
        <v>260</v>
      </c>
      <c r="C9" s="954">
        <f t="shared" si="0"/>
        <v>2.5830851398934778</v>
      </c>
      <c r="D9" s="868">
        <v>0</v>
      </c>
      <c r="E9" s="868">
        <v>0</v>
      </c>
      <c r="F9" s="868">
        <v>1015</v>
      </c>
      <c r="G9" s="868">
        <v>1944271</v>
      </c>
      <c r="H9" s="868">
        <v>598850</v>
      </c>
      <c r="I9" s="868">
        <v>1216346</v>
      </c>
      <c r="J9" s="868">
        <v>137258</v>
      </c>
      <c r="K9" s="868">
        <v>-54463</v>
      </c>
      <c r="L9" s="868">
        <v>1325783</v>
      </c>
      <c r="M9" s="868">
        <v>123571</v>
      </c>
      <c r="N9" s="868">
        <v>525837</v>
      </c>
      <c r="O9" s="868">
        <v>135855</v>
      </c>
      <c r="P9" s="868">
        <f t="shared" si="1"/>
        <v>5954323</v>
      </c>
      <c r="Q9" s="861"/>
      <c r="R9" s="874">
        <f t="shared" si="2"/>
        <v>2.5830850000000001</v>
      </c>
      <c r="S9" s="876">
        <v>2.6325409999999998</v>
      </c>
      <c r="T9" s="859"/>
      <c r="U9" s="856"/>
      <c r="V9" s="856"/>
      <c r="W9" s="873"/>
    </row>
    <row r="10" spans="1:23" ht="12.75" customHeight="1" x14ac:dyDescent="0.25">
      <c r="A10" s="866">
        <v>7</v>
      </c>
      <c r="B10" s="867" t="s">
        <v>146</v>
      </c>
      <c r="C10" s="954">
        <f t="shared" si="0"/>
        <v>1.4483862014183735</v>
      </c>
      <c r="D10" s="868">
        <v>248427</v>
      </c>
      <c r="E10" s="868">
        <v>406461</v>
      </c>
      <c r="F10" s="868">
        <v>3914</v>
      </c>
      <c r="G10" s="868">
        <v>2412</v>
      </c>
      <c r="H10" s="868">
        <v>23460</v>
      </c>
      <c r="I10" s="868">
        <v>908668</v>
      </c>
      <c r="J10" s="868">
        <v>271388</v>
      </c>
      <c r="K10" s="868">
        <v>-121963</v>
      </c>
      <c r="L10" s="868">
        <v>583812</v>
      </c>
      <c r="M10" s="868">
        <v>330063</v>
      </c>
      <c r="N10" s="868">
        <v>473484</v>
      </c>
      <c r="O10" s="868">
        <v>208579</v>
      </c>
      <c r="P10" s="868">
        <f t="shared" si="1"/>
        <v>3338705</v>
      </c>
      <c r="Q10" s="861"/>
      <c r="R10" s="874">
        <f t="shared" si="2"/>
        <v>1.448386</v>
      </c>
      <c r="S10" s="876">
        <v>1.167557</v>
      </c>
      <c r="T10" s="859"/>
      <c r="U10" s="856"/>
      <c r="V10" s="856"/>
      <c r="W10" s="873"/>
    </row>
    <row r="11" spans="1:23" ht="12.75" customHeight="1" x14ac:dyDescent="0.25">
      <c r="A11" s="866">
        <v>8</v>
      </c>
      <c r="B11" s="867" t="s">
        <v>147</v>
      </c>
      <c r="C11" s="954">
        <f t="shared" si="0"/>
        <v>3.913388587041835</v>
      </c>
      <c r="D11" s="868">
        <v>2395240</v>
      </c>
      <c r="E11" s="868">
        <v>707750</v>
      </c>
      <c r="F11" s="868">
        <v>580167</v>
      </c>
      <c r="G11" s="868">
        <v>728323</v>
      </c>
      <c r="H11" s="868">
        <v>595544</v>
      </c>
      <c r="I11" s="868">
        <v>723659</v>
      </c>
      <c r="J11" s="868">
        <v>680751</v>
      </c>
      <c r="K11" s="868">
        <v>498289</v>
      </c>
      <c r="L11" s="868">
        <v>740045</v>
      </c>
      <c r="M11" s="868">
        <v>682434</v>
      </c>
      <c r="N11" s="868">
        <v>724828</v>
      </c>
      <c r="O11" s="868">
        <v>-36197</v>
      </c>
      <c r="P11" s="868">
        <f t="shared" si="1"/>
        <v>9020833</v>
      </c>
      <c r="Q11" s="861"/>
      <c r="R11" s="874">
        <f t="shared" si="2"/>
        <v>3.913389</v>
      </c>
      <c r="S11" s="876">
        <v>2.7555960000000002</v>
      </c>
      <c r="T11" s="859"/>
      <c r="U11" s="856"/>
      <c r="V11" s="856"/>
      <c r="W11" s="873"/>
    </row>
    <row r="12" spans="1:23" ht="12.75" customHeight="1" x14ac:dyDescent="0.25">
      <c r="A12" s="866">
        <v>9</v>
      </c>
      <c r="B12" s="867" t="s">
        <v>148</v>
      </c>
      <c r="C12" s="954">
        <f t="shared" si="0"/>
        <v>1.9338154480753025</v>
      </c>
      <c r="D12" s="868">
        <v>306146</v>
      </c>
      <c r="E12" s="868">
        <v>807652</v>
      </c>
      <c r="F12" s="868">
        <v>20070</v>
      </c>
      <c r="G12" s="868">
        <v>923328</v>
      </c>
      <c r="H12" s="868">
        <v>317137</v>
      </c>
      <c r="I12" s="868">
        <v>468814</v>
      </c>
      <c r="J12" s="868">
        <v>20850</v>
      </c>
      <c r="K12" s="868">
        <v>156890</v>
      </c>
      <c r="L12" s="868">
        <v>328680</v>
      </c>
      <c r="M12" s="868">
        <v>375467</v>
      </c>
      <c r="N12" s="868">
        <v>367863</v>
      </c>
      <c r="O12" s="868">
        <v>364781</v>
      </c>
      <c r="P12" s="868">
        <f t="shared" si="1"/>
        <v>4457678</v>
      </c>
      <c r="Q12" s="861"/>
      <c r="R12" s="874">
        <f t="shared" si="2"/>
        <v>1.9338150000000001</v>
      </c>
      <c r="S12" s="876">
        <v>2.284875</v>
      </c>
      <c r="T12" s="859"/>
      <c r="U12" s="856"/>
      <c r="V12" s="856"/>
      <c r="W12" s="873"/>
    </row>
    <row r="13" spans="1:23" ht="12.75" customHeight="1" x14ac:dyDescent="0.25">
      <c r="A13" s="866">
        <v>10</v>
      </c>
      <c r="B13" s="867" t="s">
        <v>149</v>
      </c>
      <c r="C13" s="954">
        <f t="shared" si="0"/>
        <v>0.64807279136434282</v>
      </c>
      <c r="D13" s="868">
        <v>20567</v>
      </c>
      <c r="E13" s="868">
        <v>32616</v>
      </c>
      <c r="F13" s="868">
        <v>43325</v>
      </c>
      <c r="G13" s="868">
        <v>-22008</v>
      </c>
      <c r="H13" s="868">
        <v>21240</v>
      </c>
      <c r="I13" s="868">
        <v>1710217</v>
      </c>
      <c r="J13" s="868">
        <v>21240</v>
      </c>
      <c r="K13" s="868">
        <v>-343331</v>
      </c>
      <c r="L13" s="868">
        <v>21240</v>
      </c>
      <c r="M13" s="868">
        <v>21240</v>
      </c>
      <c r="N13" s="868">
        <v>0</v>
      </c>
      <c r="O13" s="868">
        <v>-32460</v>
      </c>
      <c r="P13" s="868">
        <f t="shared" si="1"/>
        <v>1493886</v>
      </c>
      <c r="Q13" s="861"/>
      <c r="R13" s="874">
        <f t="shared" si="2"/>
        <v>0.64807300000000001</v>
      </c>
      <c r="S13" s="876">
        <v>1.648209</v>
      </c>
      <c r="T13" s="859"/>
      <c r="U13" s="856"/>
      <c r="V13" s="856"/>
      <c r="W13" s="873"/>
    </row>
    <row r="14" spans="1:23" ht="12.75" customHeight="1" x14ac:dyDescent="0.25">
      <c r="A14" s="866">
        <v>11</v>
      </c>
      <c r="B14" s="867" t="s">
        <v>150</v>
      </c>
      <c r="C14" s="954">
        <f t="shared" si="0"/>
        <v>3.7871570186635215</v>
      </c>
      <c r="D14" s="868">
        <v>1125081</v>
      </c>
      <c r="E14" s="868">
        <v>230921</v>
      </c>
      <c r="F14" s="868">
        <v>1380905</v>
      </c>
      <c r="G14" s="868">
        <v>718228</v>
      </c>
      <c r="H14" s="868">
        <v>844664</v>
      </c>
      <c r="I14" s="868">
        <v>810807</v>
      </c>
      <c r="J14" s="868">
        <v>807098</v>
      </c>
      <c r="K14" s="868">
        <v>319</v>
      </c>
      <c r="L14" s="868">
        <v>609397</v>
      </c>
      <c r="M14" s="868">
        <v>574193</v>
      </c>
      <c r="N14" s="868">
        <v>451585</v>
      </c>
      <c r="O14" s="868">
        <v>1176656</v>
      </c>
      <c r="P14" s="868">
        <f t="shared" si="1"/>
        <v>8729854</v>
      </c>
      <c r="Q14" s="861"/>
      <c r="R14" s="874">
        <f t="shared" si="2"/>
        <v>3.7871570000000001</v>
      </c>
      <c r="S14" s="876">
        <v>0.55932199999999999</v>
      </c>
      <c r="T14" s="859"/>
      <c r="U14" s="856"/>
      <c r="V14" s="856"/>
      <c r="W14" s="873"/>
    </row>
    <row r="15" spans="1:23" ht="12.75" customHeight="1" x14ac:dyDescent="0.25">
      <c r="A15" s="866">
        <v>12</v>
      </c>
      <c r="B15" s="867" t="s">
        <v>151</v>
      </c>
      <c r="C15" s="954">
        <f t="shared" si="0"/>
        <v>0.12038849037444542</v>
      </c>
      <c r="D15" s="868">
        <v>0</v>
      </c>
      <c r="E15" s="868">
        <v>0</v>
      </c>
      <c r="F15" s="868">
        <v>160446</v>
      </c>
      <c r="G15" s="868">
        <v>0</v>
      </c>
      <c r="H15" s="868">
        <v>0</v>
      </c>
      <c r="I15" s="868">
        <v>0</v>
      </c>
      <c r="J15" s="868">
        <v>0</v>
      </c>
      <c r="K15" s="868">
        <v>-85091</v>
      </c>
      <c r="L15" s="868">
        <v>0</v>
      </c>
      <c r="M15" s="868">
        <v>0</v>
      </c>
      <c r="N15" s="868">
        <v>110351</v>
      </c>
      <c r="O15" s="868">
        <v>91804</v>
      </c>
      <c r="P15" s="868">
        <f t="shared" si="1"/>
        <v>277510</v>
      </c>
      <c r="Q15" s="861"/>
      <c r="R15" s="874">
        <f t="shared" si="2"/>
        <v>0.120388</v>
      </c>
      <c r="S15" s="876">
        <v>1.867856</v>
      </c>
      <c r="T15" s="859"/>
      <c r="U15" s="856"/>
      <c r="V15" s="856"/>
      <c r="W15" s="873"/>
    </row>
    <row r="16" spans="1:23" ht="12.75" customHeight="1" x14ac:dyDescent="0.25">
      <c r="A16" s="866">
        <v>13</v>
      </c>
      <c r="B16" s="869" t="s">
        <v>152</v>
      </c>
      <c r="C16" s="954">
        <f t="shared" si="0"/>
        <v>3.9993905915616073</v>
      </c>
      <c r="D16" s="868">
        <v>754246</v>
      </c>
      <c r="E16" s="868">
        <v>877393</v>
      </c>
      <c r="F16" s="868">
        <v>3318923</v>
      </c>
      <c r="G16" s="868">
        <v>820260</v>
      </c>
      <c r="H16" s="868">
        <v>741834</v>
      </c>
      <c r="I16" s="868">
        <v>325965</v>
      </c>
      <c r="J16" s="868">
        <v>1370347</v>
      </c>
      <c r="K16" s="868">
        <v>-191936</v>
      </c>
      <c r="L16" s="868">
        <v>252054</v>
      </c>
      <c r="M16" s="868">
        <v>1228648</v>
      </c>
      <c r="N16" s="868">
        <v>175839</v>
      </c>
      <c r="O16" s="868">
        <v>-454495</v>
      </c>
      <c r="P16" s="868">
        <f t="shared" si="1"/>
        <v>9219078</v>
      </c>
      <c r="Q16" s="861"/>
      <c r="R16" s="874">
        <f t="shared" si="2"/>
        <v>3.9993910000000001</v>
      </c>
      <c r="S16" s="876">
        <v>5.553299</v>
      </c>
      <c r="T16" s="859"/>
      <c r="U16" s="856"/>
      <c r="V16" s="856"/>
      <c r="W16" s="873"/>
    </row>
    <row r="17" spans="1:23" ht="12.75" customHeight="1" x14ac:dyDescent="0.25">
      <c r="A17" s="866">
        <v>14</v>
      </c>
      <c r="B17" s="867" t="s">
        <v>350</v>
      </c>
      <c r="C17" s="954">
        <f t="shared" si="0"/>
        <v>1.268287171549356</v>
      </c>
      <c r="D17" s="868">
        <v>409333</v>
      </c>
      <c r="E17" s="868">
        <v>278133</v>
      </c>
      <c r="F17" s="868">
        <v>400090</v>
      </c>
      <c r="G17" s="868">
        <v>29304</v>
      </c>
      <c r="H17" s="868">
        <v>180001</v>
      </c>
      <c r="I17" s="868">
        <v>494564</v>
      </c>
      <c r="J17" s="868">
        <v>285929</v>
      </c>
      <c r="K17" s="868">
        <v>-67705</v>
      </c>
      <c r="L17" s="868">
        <v>400714</v>
      </c>
      <c r="M17" s="868">
        <v>205054</v>
      </c>
      <c r="N17" s="868">
        <v>0</v>
      </c>
      <c r="O17" s="868">
        <v>308138</v>
      </c>
      <c r="P17" s="868">
        <f t="shared" si="1"/>
        <v>2923555</v>
      </c>
      <c r="Q17" s="861"/>
      <c r="R17" s="874">
        <f t="shared" si="2"/>
        <v>1.2682869999999999</v>
      </c>
      <c r="S17" s="876">
        <v>1.30671</v>
      </c>
      <c r="T17" s="859"/>
      <c r="U17" s="856"/>
      <c r="V17" s="856"/>
      <c r="W17" s="873"/>
    </row>
    <row r="18" spans="1:23" ht="12.75" customHeight="1" x14ac:dyDescent="0.25">
      <c r="A18" s="866">
        <v>15</v>
      </c>
      <c r="B18" s="867" t="s">
        <v>351</v>
      </c>
      <c r="C18" s="954">
        <f t="shared" si="0"/>
        <v>2.6539373953560754</v>
      </c>
      <c r="D18" s="868">
        <v>1097950</v>
      </c>
      <c r="E18" s="868">
        <v>0</v>
      </c>
      <c r="F18" s="868">
        <v>983829</v>
      </c>
      <c r="G18" s="868">
        <v>526810</v>
      </c>
      <c r="H18" s="868">
        <v>497487</v>
      </c>
      <c r="I18" s="868">
        <v>584197</v>
      </c>
      <c r="J18" s="868">
        <v>599262</v>
      </c>
      <c r="K18" s="868">
        <v>233226</v>
      </c>
      <c r="L18" s="868">
        <v>551473</v>
      </c>
      <c r="M18" s="868">
        <v>314091</v>
      </c>
      <c r="N18" s="868">
        <v>729834</v>
      </c>
      <c r="O18" s="868">
        <v>-513</v>
      </c>
      <c r="P18" s="868">
        <f t="shared" si="1"/>
        <v>6117646</v>
      </c>
      <c r="Q18" s="861"/>
      <c r="R18" s="874">
        <f t="shared" si="2"/>
        <v>2.653937</v>
      </c>
      <c r="S18" s="876">
        <v>2.6151149999999999</v>
      </c>
      <c r="T18" s="859"/>
      <c r="U18" s="856"/>
      <c r="V18" s="856"/>
      <c r="W18" s="873"/>
    </row>
    <row r="19" spans="1:23" ht="12.75" customHeight="1" x14ac:dyDescent="0.25">
      <c r="A19" s="866">
        <v>16</v>
      </c>
      <c r="B19" s="867" t="s">
        <v>155</v>
      </c>
      <c r="C19" s="954">
        <f t="shared" si="0"/>
        <v>0.86460245168334326</v>
      </c>
      <c r="D19" s="868">
        <v>33096</v>
      </c>
      <c r="E19" s="868">
        <v>26835</v>
      </c>
      <c r="F19" s="868">
        <v>41989</v>
      </c>
      <c r="G19" s="868">
        <v>-16042</v>
      </c>
      <c r="H19" s="868">
        <v>22515</v>
      </c>
      <c r="I19" s="868">
        <v>18853</v>
      </c>
      <c r="J19" s="868">
        <v>0</v>
      </c>
      <c r="K19" s="868">
        <v>-130925</v>
      </c>
      <c r="L19" s="868">
        <v>992264</v>
      </c>
      <c r="M19" s="868">
        <v>941053</v>
      </c>
      <c r="N19" s="868">
        <v>49277</v>
      </c>
      <c r="O19" s="868">
        <v>14098</v>
      </c>
      <c r="P19" s="868">
        <f t="shared" si="1"/>
        <v>1993013</v>
      </c>
      <c r="Q19" s="861"/>
      <c r="R19" s="874">
        <f t="shared" si="2"/>
        <v>0.86460199999999998</v>
      </c>
      <c r="S19" s="876">
        <v>2.1395200000000001</v>
      </c>
      <c r="T19" s="859"/>
      <c r="U19" s="856"/>
      <c r="V19" s="856"/>
      <c r="W19" s="873"/>
    </row>
    <row r="20" spans="1:23" ht="12.75" customHeight="1" x14ac:dyDescent="0.25">
      <c r="A20" s="866">
        <v>17</v>
      </c>
      <c r="B20" s="867" t="s">
        <v>156</v>
      </c>
      <c r="C20" s="954">
        <f t="shared" si="0"/>
        <v>1.4733176508862103</v>
      </c>
      <c r="D20" s="868">
        <v>0</v>
      </c>
      <c r="E20" s="868">
        <v>0</v>
      </c>
      <c r="F20" s="868">
        <v>290365</v>
      </c>
      <c r="G20" s="868">
        <v>0</v>
      </c>
      <c r="H20" s="868">
        <v>19951</v>
      </c>
      <c r="I20" s="868">
        <v>844721</v>
      </c>
      <c r="J20" s="868">
        <v>749304</v>
      </c>
      <c r="K20" s="868">
        <v>609468</v>
      </c>
      <c r="L20" s="868">
        <v>51085</v>
      </c>
      <c r="M20" s="868">
        <v>289588</v>
      </c>
      <c r="N20" s="868">
        <v>539548</v>
      </c>
      <c r="O20" s="868">
        <v>2145</v>
      </c>
      <c r="P20" s="868">
        <f t="shared" si="1"/>
        <v>3396175</v>
      </c>
      <c r="Q20" s="861"/>
      <c r="R20" s="874">
        <f t="shared" si="2"/>
        <v>1.4733179999999999</v>
      </c>
      <c r="S20" s="876">
        <v>0.257743</v>
      </c>
      <c r="T20" s="859"/>
      <c r="U20" s="856"/>
      <c r="V20" s="856"/>
      <c r="W20" s="873"/>
    </row>
    <row r="21" spans="1:23" ht="12.75" customHeight="1" x14ac:dyDescent="0.25">
      <c r="A21" s="866">
        <v>18</v>
      </c>
      <c r="B21" s="867" t="s">
        <v>157</v>
      </c>
      <c r="C21" s="954">
        <f t="shared" si="0"/>
        <v>23.280896411545378</v>
      </c>
      <c r="D21" s="868">
        <v>16480128</v>
      </c>
      <c r="E21" s="868">
        <v>1297096</v>
      </c>
      <c r="F21" s="868">
        <v>6322876</v>
      </c>
      <c r="G21" s="868">
        <v>-550373</v>
      </c>
      <c r="H21" s="868">
        <v>6993972</v>
      </c>
      <c r="I21" s="868">
        <v>4460025</v>
      </c>
      <c r="J21" s="868">
        <v>4240969</v>
      </c>
      <c r="K21" s="868">
        <v>-217755</v>
      </c>
      <c r="L21" s="868">
        <v>6393304</v>
      </c>
      <c r="M21" s="868">
        <v>3225568</v>
      </c>
      <c r="N21" s="868">
        <v>5092093</v>
      </c>
      <c r="O21" s="868">
        <v>-72627</v>
      </c>
      <c r="P21" s="868">
        <f t="shared" si="1"/>
        <v>53665276</v>
      </c>
      <c r="Q21" s="861"/>
      <c r="R21" s="874">
        <f t="shared" si="2"/>
        <v>23.280895999999998</v>
      </c>
      <c r="S21" s="876">
        <v>26.859693</v>
      </c>
      <c r="T21" s="859"/>
      <c r="U21" s="856"/>
      <c r="V21" s="856"/>
      <c r="W21" s="873"/>
    </row>
    <row r="22" spans="1:23" ht="12.75" customHeight="1" x14ac:dyDescent="0.25">
      <c r="A22" s="866">
        <v>19</v>
      </c>
      <c r="B22" s="867" t="s">
        <v>158</v>
      </c>
      <c r="C22" s="954">
        <f t="shared" si="0"/>
        <v>3.0061289328846379</v>
      </c>
      <c r="D22" s="868">
        <v>294888</v>
      </c>
      <c r="E22" s="868">
        <v>410312</v>
      </c>
      <c r="F22" s="868">
        <v>1272602</v>
      </c>
      <c r="G22" s="868">
        <v>143961</v>
      </c>
      <c r="H22" s="868">
        <v>942814</v>
      </c>
      <c r="I22" s="868">
        <v>724477</v>
      </c>
      <c r="J22" s="868">
        <v>665635</v>
      </c>
      <c r="K22" s="868">
        <v>359364</v>
      </c>
      <c r="L22" s="868">
        <v>692293</v>
      </c>
      <c r="M22" s="868">
        <v>35153</v>
      </c>
      <c r="N22" s="868">
        <v>92082</v>
      </c>
      <c r="O22" s="868">
        <v>1295909</v>
      </c>
      <c r="P22" s="868">
        <f t="shared" si="1"/>
        <v>6929490</v>
      </c>
      <c r="Q22" s="861"/>
      <c r="R22" s="874">
        <f t="shared" si="2"/>
        <v>3.0061290000000001</v>
      </c>
      <c r="S22" s="876">
        <v>3.3401369999999999</v>
      </c>
      <c r="T22" s="859"/>
      <c r="U22" s="856"/>
      <c r="V22" s="856"/>
      <c r="W22" s="873"/>
    </row>
    <row r="23" spans="1:23" ht="12.75" customHeight="1" x14ac:dyDescent="0.25">
      <c r="A23" s="866">
        <v>20</v>
      </c>
      <c r="B23" s="867" t="s">
        <v>159</v>
      </c>
      <c r="C23" s="954">
        <f t="shared" si="0"/>
        <v>6.1609294739357008</v>
      </c>
      <c r="D23" s="868">
        <v>1231825</v>
      </c>
      <c r="E23" s="868">
        <v>2267693</v>
      </c>
      <c r="F23" s="868">
        <v>2171998</v>
      </c>
      <c r="G23" s="868">
        <v>1189557</v>
      </c>
      <c r="H23" s="868">
        <v>1077814</v>
      </c>
      <c r="I23" s="868">
        <v>1750223</v>
      </c>
      <c r="J23" s="868">
        <v>1015874</v>
      </c>
      <c r="K23" s="868">
        <v>409917</v>
      </c>
      <c r="L23" s="868">
        <v>1065447</v>
      </c>
      <c r="M23" s="868">
        <v>1024691</v>
      </c>
      <c r="N23" s="868">
        <v>1023818</v>
      </c>
      <c r="O23" s="868">
        <v>-27171</v>
      </c>
      <c r="P23" s="868">
        <f t="shared" si="1"/>
        <v>14201686</v>
      </c>
      <c r="Q23" s="861"/>
      <c r="R23" s="874">
        <f t="shared" si="2"/>
        <v>6.1609290000000003</v>
      </c>
      <c r="S23" s="876">
        <v>6.8058959999999997</v>
      </c>
      <c r="T23" s="859"/>
      <c r="U23" s="856"/>
      <c r="V23" s="856"/>
      <c r="W23" s="873"/>
    </row>
    <row r="24" spans="1:23" ht="12.75" customHeight="1" x14ac:dyDescent="0.25">
      <c r="A24" s="1198" t="s">
        <v>160</v>
      </c>
      <c r="B24" s="1199"/>
      <c r="C24" s="955">
        <f>SUM(C4:C23)</f>
        <v>100</v>
      </c>
      <c r="D24" s="870">
        <v>33013861.343472883</v>
      </c>
      <c r="E24" s="870">
        <v>29800886.974221207</v>
      </c>
      <c r="F24" s="870">
        <v>22341328.1249559</v>
      </c>
      <c r="G24" s="870">
        <v>19949091.918226298</v>
      </c>
      <c r="H24" s="870">
        <v>18679486.045621209</v>
      </c>
      <c r="I24" s="870">
        <v>16414741.766909437</v>
      </c>
      <c r="J24" s="870">
        <v>18056691.008664176</v>
      </c>
      <c r="K24" s="870">
        <v>14234566.435335524</v>
      </c>
      <c r="L24" s="870">
        <v>18303049.087104086</v>
      </c>
      <c r="M24" s="870">
        <v>17831030.49974766</v>
      </c>
      <c r="N24" s="870">
        <v>20175638.553085502</v>
      </c>
      <c r="O24" s="870">
        <v>13282251.962656148</v>
      </c>
      <c r="P24" s="871">
        <f t="shared" ref="P24" si="3">SUM(P4:P23)</f>
        <v>230512069</v>
      </c>
      <c r="Q24" s="863"/>
      <c r="R24" s="875">
        <f>SUM(R4:R23)</f>
        <v>99.999998000000005</v>
      </c>
      <c r="S24" s="876">
        <v>100.00000000000001</v>
      </c>
      <c r="T24" s="859"/>
      <c r="U24" s="856"/>
      <c r="V24" s="856"/>
      <c r="W24" s="856"/>
    </row>
    <row r="25" spans="1:23" x14ac:dyDescent="0.25">
      <c r="A25" s="864"/>
      <c r="B25" s="864"/>
      <c r="C25" s="864"/>
      <c r="D25" s="864"/>
      <c r="E25" s="864"/>
      <c r="F25" s="864"/>
      <c r="G25" s="864"/>
      <c r="H25" s="864"/>
      <c r="I25" s="865"/>
      <c r="J25" s="864"/>
      <c r="K25" s="864"/>
      <c r="L25" s="864"/>
      <c r="M25" s="864"/>
      <c r="N25" s="864"/>
      <c r="O25" s="864"/>
      <c r="P25" s="864"/>
    </row>
    <row r="26" spans="1:23" x14ac:dyDescent="0.25">
      <c r="D26" s="855"/>
      <c r="E26" s="855"/>
      <c r="F26" s="855"/>
      <c r="G26" s="855"/>
      <c r="H26" s="855"/>
      <c r="I26" s="855"/>
      <c r="J26" s="855"/>
      <c r="K26" s="855"/>
      <c r="L26" s="855"/>
      <c r="M26" s="855"/>
      <c r="N26" s="855"/>
      <c r="O26" s="855"/>
      <c r="P26" s="855"/>
    </row>
    <row r="27" spans="1:23" x14ac:dyDescent="0.25">
      <c r="D27" s="951"/>
      <c r="E27" s="951"/>
      <c r="F27" s="951"/>
      <c r="G27" s="951"/>
      <c r="H27" s="951"/>
      <c r="I27" s="951"/>
      <c r="J27" s="951"/>
      <c r="K27" s="951"/>
      <c r="L27" s="951"/>
      <c r="M27" s="951"/>
      <c r="N27" s="951"/>
      <c r="O27" s="951"/>
      <c r="P27" s="855"/>
      <c r="Q27" s="855"/>
      <c r="R27" s="855"/>
    </row>
    <row r="28" spans="1:23" x14ac:dyDescent="0.25">
      <c r="D28" s="855"/>
      <c r="E28" s="855"/>
      <c r="F28" s="855"/>
      <c r="G28" s="855"/>
      <c r="H28" s="855"/>
      <c r="I28" s="855"/>
      <c r="J28" s="855"/>
      <c r="K28" s="855"/>
      <c r="L28" s="855"/>
      <c r="M28" s="855"/>
      <c r="N28" s="855"/>
      <c r="O28" s="855"/>
      <c r="P28" s="855"/>
    </row>
    <row r="29" spans="1:23" x14ac:dyDescent="0.25">
      <c r="C29" s="1200" t="s">
        <v>486</v>
      </c>
      <c r="D29" s="953" t="s">
        <v>488</v>
      </c>
      <c r="E29" s="953"/>
      <c r="F29" s="953"/>
      <c r="G29" s="953"/>
      <c r="H29" s="953"/>
      <c r="I29" s="953"/>
      <c r="J29" s="953"/>
      <c r="K29" s="953"/>
    </row>
    <row r="30" spans="1:23" x14ac:dyDescent="0.25">
      <c r="C30" s="1201"/>
      <c r="D30" s="952" t="s">
        <v>487</v>
      </c>
      <c r="E30" s="952"/>
      <c r="F30" s="952"/>
      <c r="G30" s="952"/>
      <c r="H30" s="952"/>
      <c r="I30" s="952"/>
      <c r="J30" s="952"/>
      <c r="K30" s="952"/>
    </row>
  </sheetData>
  <mergeCells count="3">
    <mergeCell ref="A1:P1"/>
    <mergeCell ref="A24:B24"/>
    <mergeCell ref="C29:C30"/>
  </mergeCells>
  <printOptions horizontalCentered="1"/>
  <pageMargins left="0.78740157480314965" right="0.78740157480314965" top="0.98425196850393704" bottom="0.98425196850393704" header="0" footer="0"/>
  <pageSetup paperSize="5" scale="79" orientation="landscape" r:id="rId1"/>
  <headerFooter alignWithMargins="0"/>
  <ignoredErrors>
    <ignoredError sqref="P5:P23 P4" unlockedFormula="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R29"/>
  <sheetViews>
    <sheetView zoomScaleNormal="100" workbookViewId="0">
      <selection activeCell="R7" sqref="R7"/>
    </sheetView>
  </sheetViews>
  <sheetFormatPr baseColWidth="10" defaultRowHeight="15" x14ac:dyDescent="0.25"/>
  <cols>
    <col min="1" max="1" width="3.7109375" customWidth="1"/>
    <col min="2" max="2" width="18.5703125" customWidth="1"/>
    <col min="3" max="15" width="13.28515625" customWidth="1"/>
    <col min="16" max="16" width="14.28515625" customWidth="1"/>
  </cols>
  <sheetData>
    <row r="1" spans="1:18" x14ac:dyDescent="0.25">
      <c r="A1" s="1206" t="s">
        <v>352</v>
      </c>
      <c r="B1" s="1206"/>
      <c r="C1" s="1206"/>
      <c r="D1" s="1206"/>
      <c r="E1" s="1206"/>
      <c r="F1" s="1206"/>
      <c r="G1" s="1206"/>
      <c r="H1" s="1206"/>
      <c r="I1" s="1206"/>
      <c r="J1" s="1206"/>
      <c r="K1" s="1206"/>
      <c r="L1" s="1206"/>
      <c r="M1" s="1206"/>
      <c r="N1" s="1206"/>
      <c r="O1" s="1206"/>
      <c r="P1" s="1206"/>
    </row>
    <row r="2" spans="1:18" x14ac:dyDescent="0.25">
      <c r="A2" s="1206"/>
      <c r="B2" s="1206"/>
      <c r="C2" s="1206"/>
      <c r="D2" s="1206"/>
      <c r="E2" s="1206"/>
      <c r="F2" s="1206"/>
      <c r="G2" s="1206"/>
      <c r="H2" s="1206"/>
      <c r="I2" s="1206"/>
      <c r="J2" s="1206"/>
      <c r="K2" s="1206"/>
      <c r="L2" s="1206"/>
      <c r="M2" s="1206"/>
      <c r="N2" s="1206"/>
      <c r="O2" s="1206"/>
      <c r="P2" s="1206"/>
    </row>
    <row r="4" spans="1:18" ht="15.75" customHeight="1" x14ac:dyDescent="0.25">
      <c r="A4" s="739" t="s">
        <v>345</v>
      </c>
      <c r="B4" s="1207" t="s">
        <v>288</v>
      </c>
      <c r="C4" s="1205" t="s">
        <v>1</v>
      </c>
      <c r="D4" s="1205" t="s">
        <v>2</v>
      </c>
      <c r="E4" s="1205" t="s">
        <v>3</v>
      </c>
      <c r="F4" s="1210" t="s">
        <v>353</v>
      </c>
      <c r="G4" s="1205" t="s">
        <v>4</v>
      </c>
      <c r="H4" s="1213" t="s">
        <v>5</v>
      </c>
      <c r="I4" s="1205" t="s">
        <v>6</v>
      </c>
      <c r="J4" s="1205" t="s">
        <v>7</v>
      </c>
      <c r="K4" s="1205" t="s">
        <v>8</v>
      </c>
      <c r="L4" s="1205" t="s">
        <v>9</v>
      </c>
      <c r="M4" s="1205" t="s">
        <v>10</v>
      </c>
      <c r="N4" s="1205" t="s">
        <v>11</v>
      </c>
      <c r="O4" s="1205" t="s">
        <v>12</v>
      </c>
      <c r="P4" s="1205" t="s">
        <v>160</v>
      </c>
      <c r="R4" s="1202"/>
    </row>
    <row r="5" spans="1:18" ht="15.75" customHeight="1" x14ac:dyDescent="0.25">
      <c r="A5" s="740" t="s">
        <v>347</v>
      </c>
      <c r="B5" s="1208"/>
      <c r="C5" s="1205"/>
      <c r="D5" s="1205"/>
      <c r="E5" s="1205"/>
      <c r="F5" s="1211"/>
      <c r="G5" s="1205"/>
      <c r="H5" s="1214"/>
      <c r="I5" s="1205"/>
      <c r="J5" s="1205"/>
      <c r="K5" s="1205"/>
      <c r="L5" s="1205"/>
      <c r="M5" s="1205"/>
      <c r="N5" s="1205"/>
      <c r="O5" s="1205"/>
      <c r="P5" s="1205"/>
      <c r="R5" s="1202"/>
    </row>
    <row r="6" spans="1:18" ht="15.75" customHeight="1" x14ac:dyDescent="0.25">
      <c r="A6" s="741" t="s">
        <v>348</v>
      </c>
      <c r="B6" s="1209"/>
      <c r="C6" s="1205"/>
      <c r="D6" s="1205"/>
      <c r="E6" s="1205"/>
      <c r="F6" s="1212"/>
      <c r="G6" s="1205"/>
      <c r="H6" s="1215"/>
      <c r="I6" s="1205"/>
      <c r="J6" s="1205"/>
      <c r="K6" s="1205"/>
      <c r="L6" s="1205"/>
      <c r="M6" s="1205"/>
      <c r="N6" s="1205"/>
      <c r="O6" s="1205"/>
      <c r="P6" s="1205"/>
      <c r="R6" s="1202"/>
    </row>
    <row r="7" spans="1:18" ht="24.95" customHeight="1" x14ac:dyDescent="0.25">
      <c r="A7" s="742">
        <v>1</v>
      </c>
      <c r="B7" s="743" t="s">
        <v>258</v>
      </c>
      <c r="C7" s="744">
        <v>230889.95</v>
      </c>
      <c r="D7" s="744">
        <v>44459.15</v>
      </c>
      <c r="E7" s="744">
        <v>31816.67</v>
      </c>
      <c r="F7" s="744">
        <v>-185687.83275438202</v>
      </c>
      <c r="G7" s="744">
        <v>99054.54</v>
      </c>
      <c r="H7" s="744">
        <v>284794.21999999997</v>
      </c>
      <c r="I7" s="745">
        <v>142921.01999999999</v>
      </c>
      <c r="J7" s="744">
        <v>141448.73000000001</v>
      </c>
      <c r="K7" s="744">
        <v>97957.92</v>
      </c>
      <c r="L7" s="744">
        <v>84986.77</v>
      </c>
      <c r="M7" s="744">
        <v>75215.03</v>
      </c>
      <c r="N7" s="744">
        <v>94789.84</v>
      </c>
      <c r="O7" s="744">
        <v>96318.09</v>
      </c>
      <c r="P7" s="744">
        <f t="shared" ref="P7:P26" si="0">SUM(C7:O7)</f>
        <v>1238964.0972456182</v>
      </c>
      <c r="R7" s="59">
        <f>P7/$P$27*100</f>
        <v>3.6956981722928051</v>
      </c>
    </row>
    <row r="8" spans="1:18" ht="24.95" customHeight="1" x14ac:dyDescent="0.25">
      <c r="A8" s="742">
        <v>2</v>
      </c>
      <c r="B8" s="743" t="s">
        <v>141</v>
      </c>
      <c r="C8" s="744">
        <v>159066.10999999999</v>
      </c>
      <c r="D8" s="744">
        <v>30714.560000000001</v>
      </c>
      <c r="E8" s="744">
        <v>21980.51</v>
      </c>
      <c r="F8" s="744">
        <v>-128282.24603563</v>
      </c>
      <c r="G8" s="744">
        <v>68431.73</v>
      </c>
      <c r="H8" s="744">
        <v>196749.79</v>
      </c>
      <c r="I8" s="745">
        <v>98736.84</v>
      </c>
      <c r="J8" s="744">
        <v>97719.71</v>
      </c>
      <c r="K8" s="744">
        <v>67674.13</v>
      </c>
      <c r="L8" s="744">
        <v>58713.02</v>
      </c>
      <c r="M8" s="744">
        <v>51962.23</v>
      </c>
      <c r="N8" s="744">
        <v>65485.46</v>
      </c>
      <c r="O8" s="744">
        <v>66541.25</v>
      </c>
      <c r="P8" s="744">
        <f t="shared" si="0"/>
        <v>855493.09396436985</v>
      </c>
      <c r="R8" s="59">
        <f t="shared" ref="R8:R26" si="1">P8/$P$27*100</f>
        <v>2.5518449411100721</v>
      </c>
    </row>
    <row r="9" spans="1:18" ht="24.95" customHeight="1" x14ac:dyDescent="0.25">
      <c r="A9" s="742">
        <v>3</v>
      </c>
      <c r="B9" s="743" t="s">
        <v>142</v>
      </c>
      <c r="C9" s="744">
        <v>163443.22</v>
      </c>
      <c r="D9" s="744">
        <v>31697.66</v>
      </c>
      <c r="E9" s="744">
        <v>22684.06</v>
      </c>
      <c r="F9" s="744">
        <v>-132388.28906797199</v>
      </c>
      <c r="G9" s="744">
        <v>70622.080000000002</v>
      </c>
      <c r="H9" s="744">
        <v>203047.33</v>
      </c>
      <c r="I9" s="745">
        <v>101897.19</v>
      </c>
      <c r="J9" s="744">
        <v>100847.51</v>
      </c>
      <c r="K9" s="744">
        <v>69840.23</v>
      </c>
      <c r="L9" s="744">
        <v>60592.3</v>
      </c>
      <c r="M9" s="744">
        <v>53625.43</v>
      </c>
      <c r="N9" s="744">
        <v>67581.509999999995</v>
      </c>
      <c r="O9" s="744">
        <v>68671.100000000006</v>
      </c>
      <c r="P9" s="744">
        <f t="shared" si="0"/>
        <v>882161.33093202801</v>
      </c>
      <c r="R9" s="59">
        <f t="shared" si="1"/>
        <v>2.6313934565503119</v>
      </c>
    </row>
    <row r="10" spans="1:18" ht="24.95" customHeight="1" x14ac:dyDescent="0.25">
      <c r="A10" s="742">
        <v>4</v>
      </c>
      <c r="B10" s="743" t="s">
        <v>349</v>
      </c>
      <c r="C10" s="744">
        <v>573767.36</v>
      </c>
      <c r="D10" s="744">
        <v>130614.07</v>
      </c>
      <c r="E10" s="744">
        <v>93472.44</v>
      </c>
      <c r="F10" s="744">
        <v>-545522.00401815202</v>
      </c>
      <c r="G10" s="744">
        <v>291006.86</v>
      </c>
      <c r="H10" s="744">
        <v>836681.16</v>
      </c>
      <c r="I10" s="745">
        <v>419879.74</v>
      </c>
      <c r="J10" s="744">
        <v>415554.41</v>
      </c>
      <c r="K10" s="744">
        <v>287785.15000000002</v>
      </c>
      <c r="L10" s="744">
        <v>249677.94</v>
      </c>
      <c r="M10" s="744">
        <v>220970.08</v>
      </c>
      <c r="N10" s="744">
        <v>278477.83</v>
      </c>
      <c r="O10" s="744">
        <v>282967.59000000003</v>
      </c>
      <c r="P10" s="744">
        <f t="shared" si="0"/>
        <v>3535332.6259818478</v>
      </c>
      <c r="R10" s="59">
        <f t="shared" si="1"/>
        <v>10.545521337813282</v>
      </c>
    </row>
    <row r="11" spans="1:18" ht="24.95" customHeight="1" x14ac:dyDescent="0.25">
      <c r="A11" s="742">
        <v>5</v>
      </c>
      <c r="B11" s="743" t="s">
        <v>144</v>
      </c>
      <c r="C11" s="744">
        <v>447901.68</v>
      </c>
      <c r="D11" s="744">
        <v>87298.34</v>
      </c>
      <c r="E11" s="744">
        <v>62474.04</v>
      </c>
      <c r="F11" s="744">
        <v>-364609.77929653198</v>
      </c>
      <c r="G11" s="744">
        <v>194499.85</v>
      </c>
      <c r="H11" s="744">
        <v>559211.42000000004</v>
      </c>
      <c r="I11" s="745">
        <v>280634.44</v>
      </c>
      <c r="J11" s="744">
        <v>277743.52</v>
      </c>
      <c r="K11" s="744">
        <v>192346.56</v>
      </c>
      <c r="L11" s="744">
        <v>166876.9</v>
      </c>
      <c r="M11" s="744">
        <v>147689.47</v>
      </c>
      <c r="N11" s="744">
        <v>186125.84</v>
      </c>
      <c r="O11" s="744">
        <v>189126.65</v>
      </c>
      <c r="P11" s="744">
        <f t="shared" si="0"/>
        <v>2427318.9307034682</v>
      </c>
      <c r="R11" s="59">
        <f t="shared" si="1"/>
        <v>7.2404342916113968</v>
      </c>
    </row>
    <row r="12" spans="1:18" ht="24.95" customHeight="1" x14ac:dyDescent="0.25">
      <c r="A12" s="742">
        <v>6</v>
      </c>
      <c r="B12" s="743" t="s">
        <v>260</v>
      </c>
      <c r="C12" s="744">
        <v>230011.54</v>
      </c>
      <c r="D12" s="744">
        <v>46786.51</v>
      </c>
      <c r="E12" s="744">
        <v>33482.22</v>
      </c>
      <c r="F12" s="744">
        <v>-195408.28175218997</v>
      </c>
      <c r="G12" s="744">
        <v>104239.88</v>
      </c>
      <c r="H12" s="744">
        <v>299702.71999999997</v>
      </c>
      <c r="I12" s="745">
        <v>150402.69</v>
      </c>
      <c r="J12" s="744">
        <v>148853.34</v>
      </c>
      <c r="K12" s="744">
        <v>103085.86</v>
      </c>
      <c r="L12" s="744">
        <v>89435.69</v>
      </c>
      <c r="M12" s="744">
        <v>79152.42</v>
      </c>
      <c r="N12" s="744">
        <v>99751.93</v>
      </c>
      <c r="O12" s="744">
        <v>101360.18</v>
      </c>
      <c r="P12" s="744">
        <f t="shared" si="0"/>
        <v>1290856.6982478097</v>
      </c>
      <c r="R12" s="59">
        <f t="shared" si="1"/>
        <v>3.8504882837299879</v>
      </c>
    </row>
    <row r="13" spans="1:18" ht="24.95" customHeight="1" x14ac:dyDescent="0.25">
      <c r="A13" s="742">
        <v>7</v>
      </c>
      <c r="B13" s="743" t="s">
        <v>146</v>
      </c>
      <c r="C13" s="744">
        <v>173986.17</v>
      </c>
      <c r="D13" s="744">
        <v>33710.79</v>
      </c>
      <c r="E13" s="744">
        <v>24124.73</v>
      </c>
      <c r="F13" s="744">
        <v>-140796.29984227399</v>
      </c>
      <c r="G13" s="744">
        <v>75107.31</v>
      </c>
      <c r="H13" s="744">
        <v>215942.91</v>
      </c>
      <c r="I13" s="745">
        <v>108368.71</v>
      </c>
      <c r="J13" s="744">
        <v>107252.36</v>
      </c>
      <c r="K13" s="744">
        <v>74275.8</v>
      </c>
      <c r="L13" s="744">
        <v>64440.54</v>
      </c>
      <c r="M13" s="744">
        <v>57031.19</v>
      </c>
      <c r="N13" s="744">
        <v>71873.63</v>
      </c>
      <c r="O13" s="744">
        <v>73032.41</v>
      </c>
      <c r="P13" s="744">
        <f t="shared" si="0"/>
        <v>938350.25015772623</v>
      </c>
      <c r="R13" s="59">
        <f t="shared" si="1"/>
        <v>2.7989990284528155</v>
      </c>
    </row>
    <row r="14" spans="1:18" ht="24.95" customHeight="1" x14ac:dyDescent="0.25">
      <c r="A14" s="742">
        <v>8</v>
      </c>
      <c r="B14" s="743" t="s">
        <v>147</v>
      </c>
      <c r="C14" s="744">
        <v>210330.92</v>
      </c>
      <c r="D14" s="744">
        <v>40590.620000000003</v>
      </c>
      <c r="E14" s="744">
        <v>29048.21</v>
      </c>
      <c r="F14" s="744">
        <v>-169530.57839835397</v>
      </c>
      <c r="G14" s="744">
        <v>90435.51</v>
      </c>
      <c r="H14" s="744">
        <v>260013.42</v>
      </c>
      <c r="I14" s="745">
        <v>130485.03</v>
      </c>
      <c r="J14" s="744">
        <v>129140.86</v>
      </c>
      <c r="K14" s="744">
        <v>89434.31</v>
      </c>
      <c r="L14" s="744">
        <v>77591.820000000007</v>
      </c>
      <c r="M14" s="744">
        <v>68670.350000000006</v>
      </c>
      <c r="N14" s="744">
        <v>86541.89</v>
      </c>
      <c r="O14" s="744">
        <v>87937.16</v>
      </c>
      <c r="P14" s="744">
        <f t="shared" si="0"/>
        <v>1130689.521601646</v>
      </c>
      <c r="R14" s="59">
        <f t="shared" si="1"/>
        <v>3.3727266251730823</v>
      </c>
    </row>
    <row r="15" spans="1:18" ht="24.95" customHeight="1" x14ac:dyDescent="0.25">
      <c r="A15" s="742">
        <v>9</v>
      </c>
      <c r="B15" s="743" t="s">
        <v>148</v>
      </c>
      <c r="C15" s="744">
        <v>199578.75</v>
      </c>
      <c r="D15" s="744">
        <v>39127.22</v>
      </c>
      <c r="E15" s="744">
        <v>28000.94</v>
      </c>
      <c r="F15" s="744">
        <v>-163418.51458818998</v>
      </c>
      <c r="G15" s="744">
        <v>87175.05</v>
      </c>
      <c r="H15" s="744">
        <v>250639.19</v>
      </c>
      <c r="I15" s="745">
        <v>125780.67</v>
      </c>
      <c r="J15" s="744">
        <v>124484.96</v>
      </c>
      <c r="K15" s="744">
        <v>86209.95</v>
      </c>
      <c r="L15" s="744">
        <v>74794.41</v>
      </c>
      <c r="M15" s="744">
        <v>66194.59</v>
      </c>
      <c r="N15" s="744">
        <v>83421.81</v>
      </c>
      <c r="O15" s="744">
        <v>84766.78</v>
      </c>
      <c r="P15" s="744">
        <f t="shared" si="0"/>
        <v>1086755.8054118101</v>
      </c>
      <c r="R15" s="59">
        <f t="shared" si="1"/>
        <v>3.2416770209224279</v>
      </c>
    </row>
    <row r="16" spans="1:18" ht="24.95" customHeight="1" x14ac:dyDescent="0.25">
      <c r="A16" s="742">
        <v>10</v>
      </c>
      <c r="B16" s="743" t="s">
        <v>149</v>
      </c>
      <c r="C16" s="744">
        <v>148183.26</v>
      </c>
      <c r="D16" s="744">
        <v>29075.99</v>
      </c>
      <c r="E16" s="744">
        <v>20807.89</v>
      </c>
      <c r="F16" s="744">
        <v>-121438.605515512</v>
      </c>
      <c r="G16" s="744">
        <v>64781.01</v>
      </c>
      <c r="H16" s="744">
        <v>186253.52</v>
      </c>
      <c r="I16" s="745">
        <v>93469.39</v>
      </c>
      <c r="J16" s="744">
        <v>92506.53</v>
      </c>
      <c r="K16" s="744">
        <v>64063.83</v>
      </c>
      <c r="L16" s="744">
        <v>55580.78</v>
      </c>
      <c r="M16" s="744">
        <v>49190.13</v>
      </c>
      <c r="N16" s="744">
        <v>61991.92</v>
      </c>
      <c r="O16" s="744">
        <v>62991.39</v>
      </c>
      <c r="P16" s="744">
        <f t="shared" si="0"/>
        <v>807457.03448448807</v>
      </c>
      <c r="R16" s="59">
        <f t="shared" si="1"/>
        <v>2.4085584829967073</v>
      </c>
    </row>
    <row r="17" spans="1:18" ht="24.95" customHeight="1" x14ac:dyDescent="0.25">
      <c r="A17" s="742">
        <v>11</v>
      </c>
      <c r="B17" s="743" t="s">
        <v>150</v>
      </c>
      <c r="C17" s="744">
        <v>226746.16</v>
      </c>
      <c r="D17" s="744">
        <v>43596.37</v>
      </c>
      <c r="E17" s="744">
        <v>31199.23</v>
      </c>
      <c r="F17" s="744">
        <v>-182084.3419002</v>
      </c>
      <c r="G17" s="744">
        <v>97132.27</v>
      </c>
      <c r="H17" s="744">
        <v>279267.45</v>
      </c>
      <c r="I17" s="745">
        <v>140147.47</v>
      </c>
      <c r="J17" s="744">
        <v>138703.76</v>
      </c>
      <c r="K17" s="744">
        <v>96056.93</v>
      </c>
      <c r="L17" s="744">
        <v>83337.509999999995</v>
      </c>
      <c r="M17" s="744">
        <v>73755.399999999994</v>
      </c>
      <c r="N17" s="744">
        <v>92950.33</v>
      </c>
      <c r="O17" s="744">
        <v>94448.92</v>
      </c>
      <c r="P17" s="744">
        <f t="shared" si="0"/>
        <v>1215257.4580997999</v>
      </c>
      <c r="R17" s="59">
        <f t="shared" si="1"/>
        <v>3.6249837882705553</v>
      </c>
    </row>
    <row r="18" spans="1:18" ht="24.95" customHeight="1" x14ac:dyDescent="0.25">
      <c r="A18" s="742">
        <v>12</v>
      </c>
      <c r="B18" s="743" t="s">
        <v>151</v>
      </c>
      <c r="C18" s="744">
        <v>216643.25</v>
      </c>
      <c r="D18" s="744">
        <v>41672.46</v>
      </c>
      <c r="E18" s="744">
        <v>29822.41</v>
      </c>
      <c r="F18" s="744">
        <v>-174048.95641060799</v>
      </c>
      <c r="G18" s="744">
        <v>92845.83</v>
      </c>
      <c r="H18" s="744">
        <v>266943.37</v>
      </c>
      <c r="I18" s="745">
        <v>133962.76</v>
      </c>
      <c r="J18" s="744">
        <v>132582.76</v>
      </c>
      <c r="K18" s="744">
        <v>91817.94</v>
      </c>
      <c r="L18" s="744">
        <v>79659.820000000007</v>
      </c>
      <c r="M18" s="744">
        <v>70500.570000000007</v>
      </c>
      <c r="N18" s="744">
        <v>88848.43</v>
      </c>
      <c r="O18" s="744">
        <v>90280.89</v>
      </c>
      <c r="P18" s="744">
        <f t="shared" si="0"/>
        <v>1161531.533589392</v>
      </c>
      <c r="R18" s="59">
        <f t="shared" si="1"/>
        <v>3.4647250677319463</v>
      </c>
    </row>
    <row r="19" spans="1:18" ht="24.95" customHeight="1" x14ac:dyDescent="0.25">
      <c r="A19" s="742">
        <v>13</v>
      </c>
      <c r="B19" s="746" t="s">
        <v>152</v>
      </c>
      <c r="C19" s="744">
        <v>231510.39</v>
      </c>
      <c r="D19" s="744">
        <v>43220.03</v>
      </c>
      <c r="E19" s="744">
        <v>30929.91</v>
      </c>
      <c r="F19" s="744">
        <v>-180512.55446025397</v>
      </c>
      <c r="G19" s="744">
        <v>96293.81</v>
      </c>
      <c r="H19" s="744">
        <v>276856.76</v>
      </c>
      <c r="I19" s="745">
        <v>138937.69</v>
      </c>
      <c r="J19" s="744">
        <v>137506.44</v>
      </c>
      <c r="K19" s="744">
        <v>95227.75</v>
      </c>
      <c r="L19" s="744">
        <v>82618.12</v>
      </c>
      <c r="M19" s="744">
        <v>73118.73</v>
      </c>
      <c r="N19" s="744">
        <v>92147.97</v>
      </c>
      <c r="O19" s="744">
        <v>93633.62</v>
      </c>
      <c r="P19" s="744">
        <f t="shared" si="0"/>
        <v>1211488.6655397462</v>
      </c>
      <c r="R19" s="59">
        <f t="shared" si="1"/>
        <v>3.6137418807714554</v>
      </c>
    </row>
    <row r="20" spans="1:18" ht="24.95" customHeight="1" x14ac:dyDescent="0.25">
      <c r="A20" s="742">
        <v>14</v>
      </c>
      <c r="B20" s="743" t="s">
        <v>350</v>
      </c>
      <c r="C20" s="744">
        <v>167189.59</v>
      </c>
      <c r="D20" s="744">
        <v>32690.11</v>
      </c>
      <c r="E20" s="744">
        <v>23394.3</v>
      </c>
      <c r="F20" s="744">
        <v>-136533.33539687199</v>
      </c>
      <c r="G20" s="744">
        <v>72833.240000000005</v>
      </c>
      <c r="H20" s="744">
        <v>209404.7</v>
      </c>
      <c r="I20" s="745">
        <v>105087.57</v>
      </c>
      <c r="J20" s="744">
        <v>104005.02</v>
      </c>
      <c r="K20" s="744">
        <v>72026.91</v>
      </c>
      <c r="L20" s="744">
        <v>62489.440000000002</v>
      </c>
      <c r="M20" s="744">
        <v>55304.43</v>
      </c>
      <c r="N20" s="744">
        <v>69697.48</v>
      </c>
      <c r="O20" s="744">
        <v>70821.17</v>
      </c>
      <c r="P20" s="744">
        <f t="shared" si="0"/>
        <v>908410.62460312806</v>
      </c>
      <c r="R20" s="59">
        <f t="shared" si="1"/>
        <v>2.7096923086800278</v>
      </c>
    </row>
    <row r="21" spans="1:18" ht="24.95" customHeight="1" x14ac:dyDescent="0.25">
      <c r="A21" s="742">
        <v>15</v>
      </c>
      <c r="B21" s="743" t="s">
        <v>351</v>
      </c>
      <c r="C21" s="744">
        <v>169511.74</v>
      </c>
      <c r="D21" s="744">
        <v>33353.769999999997</v>
      </c>
      <c r="E21" s="744">
        <v>23869.24</v>
      </c>
      <c r="F21" s="744">
        <v>-139305.19321888199</v>
      </c>
      <c r="G21" s="744">
        <v>74311.88</v>
      </c>
      <c r="H21" s="744">
        <v>213655.97</v>
      </c>
      <c r="I21" s="745">
        <v>107221.03</v>
      </c>
      <c r="J21" s="744">
        <v>106116.5</v>
      </c>
      <c r="K21" s="744">
        <v>73489.179999999993</v>
      </c>
      <c r="L21" s="744">
        <v>63758.080000000002</v>
      </c>
      <c r="M21" s="744">
        <v>56427.199999999997</v>
      </c>
      <c r="N21" s="744">
        <v>71112.45</v>
      </c>
      <c r="O21" s="744">
        <v>72258.960000000006</v>
      </c>
      <c r="P21" s="744">
        <f t="shared" si="0"/>
        <v>925780.80678111792</v>
      </c>
      <c r="R21" s="59">
        <f t="shared" si="1"/>
        <v>2.7615057152753471</v>
      </c>
    </row>
    <row r="22" spans="1:18" ht="24.95" customHeight="1" x14ac:dyDescent="0.25">
      <c r="A22" s="742">
        <v>16</v>
      </c>
      <c r="B22" s="743" t="s">
        <v>155</v>
      </c>
      <c r="C22" s="744">
        <v>414160.22</v>
      </c>
      <c r="D22" s="744">
        <v>76813.320000000007</v>
      </c>
      <c r="E22" s="744">
        <v>54970.559999999998</v>
      </c>
      <c r="F22" s="744">
        <v>-320818.10907313199</v>
      </c>
      <c r="G22" s="744">
        <v>171139.33</v>
      </c>
      <c r="H22" s="744">
        <v>492047</v>
      </c>
      <c r="I22" s="745">
        <v>246928.67</v>
      </c>
      <c r="J22" s="744">
        <v>244384.97</v>
      </c>
      <c r="K22" s="744">
        <v>169244.66</v>
      </c>
      <c r="L22" s="744">
        <v>146834.04999999999</v>
      </c>
      <c r="M22" s="744">
        <v>129951.14</v>
      </c>
      <c r="N22" s="744">
        <v>163771.07999999999</v>
      </c>
      <c r="O22" s="744">
        <v>166411.48000000001</v>
      </c>
      <c r="P22" s="744">
        <f t="shared" si="0"/>
        <v>2155838.3709268682</v>
      </c>
      <c r="R22" s="59">
        <f t="shared" si="1"/>
        <v>6.4306366462963309</v>
      </c>
    </row>
    <row r="23" spans="1:18" ht="24.95" customHeight="1" x14ac:dyDescent="0.25">
      <c r="A23" s="742">
        <v>17</v>
      </c>
      <c r="B23" s="743" t="s">
        <v>156</v>
      </c>
      <c r="C23" s="744">
        <v>246212.34</v>
      </c>
      <c r="D23" s="744">
        <v>46110.35</v>
      </c>
      <c r="E23" s="744">
        <v>32998.339999999997</v>
      </c>
      <c r="F23" s="744">
        <v>-192584.251344616</v>
      </c>
      <c r="G23" s="744">
        <v>102733.42</v>
      </c>
      <c r="H23" s="744">
        <v>295371.43</v>
      </c>
      <c r="I23" s="745">
        <v>148229.07999999999</v>
      </c>
      <c r="J23" s="744">
        <v>146702.12</v>
      </c>
      <c r="K23" s="744">
        <v>101596.06</v>
      </c>
      <c r="L23" s="744">
        <v>88143.17</v>
      </c>
      <c r="M23" s="744">
        <v>78008.509999999995</v>
      </c>
      <c r="N23" s="744">
        <v>98310.32</v>
      </c>
      <c r="O23" s="744">
        <v>99895.33</v>
      </c>
      <c r="P23" s="744">
        <f t="shared" si="0"/>
        <v>1291726.2186553841</v>
      </c>
      <c r="R23" s="59">
        <f t="shared" si="1"/>
        <v>3.8530819706561781</v>
      </c>
    </row>
    <row r="24" spans="1:18" ht="24.95" customHeight="1" x14ac:dyDescent="0.25">
      <c r="A24" s="742">
        <v>18</v>
      </c>
      <c r="B24" s="743" t="s">
        <v>157</v>
      </c>
      <c r="C24" s="744">
        <v>1393091.72</v>
      </c>
      <c r="D24" s="744">
        <v>270498.38</v>
      </c>
      <c r="E24" s="744">
        <v>193579.03</v>
      </c>
      <c r="F24" s="744">
        <v>-1129762.0709132659</v>
      </c>
      <c r="G24" s="744">
        <v>602667.74</v>
      </c>
      <c r="H24" s="744">
        <v>1732745.21</v>
      </c>
      <c r="I24" s="745">
        <v>869560.17</v>
      </c>
      <c r="J24" s="744">
        <v>860602.51</v>
      </c>
      <c r="K24" s="744">
        <v>595995.67000000004</v>
      </c>
      <c r="L24" s="744">
        <v>517076.61</v>
      </c>
      <c r="M24" s="744">
        <v>457623.37</v>
      </c>
      <c r="N24" s="744">
        <v>576720.43000000005</v>
      </c>
      <c r="O24" s="744">
        <v>586018.61</v>
      </c>
      <c r="P24" s="744">
        <f t="shared" si="0"/>
        <v>7526417.3790867347</v>
      </c>
      <c r="R24" s="59">
        <f t="shared" si="1"/>
        <v>22.450502814117783</v>
      </c>
    </row>
    <row r="25" spans="1:18" ht="24.95" customHeight="1" x14ac:dyDescent="0.25">
      <c r="A25" s="742">
        <v>19</v>
      </c>
      <c r="B25" s="743" t="s">
        <v>158</v>
      </c>
      <c r="C25" s="744">
        <v>226548.89</v>
      </c>
      <c r="D25" s="744">
        <v>43551.01</v>
      </c>
      <c r="E25" s="744">
        <v>31166.78</v>
      </c>
      <c r="F25" s="744">
        <v>-181894.92614951599</v>
      </c>
      <c r="G25" s="744">
        <v>97031.23</v>
      </c>
      <c r="H25" s="744">
        <v>278976.94</v>
      </c>
      <c r="I25" s="745">
        <v>140001.68</v>
      </c>
      <c r="J25" s="744">
        <v>138559.47</v>
      </c>
      <c r="K25" s="744">
        <v>95957.01</v>
      </c>
      <c r="L25" s="744">
        <v>83250.81</v>
      </c>
      <c r="M25" s="744">
        <v>73678.67</v>
      </c>
      <c r="N25" s="744">
        <v>92853.64</v>
      </c>
      <c r="O25" s="744">
        <v>94350.67</v>
      </c>
      <c r="P25" s="744">
        <f t="shared" si="0"/>
        <v>1214031.8738504841</v>
      </c>
      <c r="R25" s="59">
        <f t="shared" si="1"/>
        <v>3.6213280007620585</v>
      </c>
    </row>
    <row r="26" spans="1:18" ht="24.95" customHeight="1" x14ac:dyDescent="0.25">
      <c r="A26" s="742">
        <v>20</v>
      </c>
      <c r="B26" s="743" t="s">
        <v>159</v>
      </c>
      <c r="C26" s="744">
        <v>303271.74</v>
      </c>
      <c r="D26" s="744">
        <v>62509.89</v>
      </c>
      <c r="E26" s="744">
        <v>44734.49</v>
      </c>
      <c r="F26" s="744">
        <v>-261078.42986346598</v>
      </c>
      <c r="G26" s="744">
        <v>139271.43</v>
      </c>
      <c r="H26" s="744">
        <v>400422.69</v>
      </c>
      <c r="I26" s="745">
        <v>200947.96</v>
      </c>
      <c r="J26" s="744">
        <v>198877.92</v>
      </c>
      <c r="K26" s="744">
        <v>137729.54999999999</v>
      </c>
      <c r="L26" s="744">
        <v>119492.02</v>
      </c>
      <c r="M26" s="744">
        <v>105752.86</v>
      </c>
      <c r="N26" s="744">
        <v>133275.21</v>
      </c>
      <c r="O26" s="744">
        <v>135423.95000000001</v>
      </c>
      <c r="P26" s="744">
        <f t="shared" si="0"/>
        <v>1720631.280136534</v>
      </c>
      <c r="R26" s="59">
        <f t="shared" si="1"/>
        <v>5.1324601667854397</v>
      </c>
    </row>
    <row r="27" spans="1:18" ht="24.95" customHeight="1" x14ac:dyDescent="0.25">
      <c r="A27" s="1203" t="s">
        <v>160</v>
      </c>
      <c r="B27" s="1204"/>
      <c r="C27" s="747">
        <f>SUM(C7:C26)</f>
        <v>6132044.9999999991</v>
      </c>
      <c r="D27" s="747">
        <f t="shared" ref="D27:P27" si="2">SUM(D7:D26)</f>
        <v>1208090.5999999999</v>
      </c>
      <c r="E27" s="747">
        <f t="shared" si="2"/>
        <v>864555.99999999988</v>
      </c>
      <c r="F27" s="747">
        <f t="shared" si="2"/>
        <v>-5045704.6000000006</v>
      </c>
      <c r="G27" s="747">
        <f t="shared" si="2"/>
        <v>2691614</v>
      </c>
      <c r="H27" s="747">
        <f t="shared" si="2"/>
        <v>7738727.2000000002</v>
      </c>
      <c r="I27" s="747">
        <f t="shared" si="2"/>
        <v>3883599.7999999993</v>
      </c>
      <c r="J27" s="747">
        <f t="shared" si="2"/>
        <v>3843593.4000000008</v>
      </c>
      <c r="K27" s="747">
        <f t="shared" si="2"/>
        <v>2661815.3999999994</v>
      </c>
      <c r="L27" s="747">
        <f t="shared" si="2"/>
        <v>2309349.8000000003</v>
      </c>
      <c r="M27" s="747">
        <f t="shared" si="2"/>
        <v>2043821.8</v>
      </c>
      <c r="N27" s="747">
        <f t="shared" si="2"/>
        <v>2575729</v>
      </c>
      <c r="O27" s="747">
        <f t="shared" si="2"/>
        <v>2617256.1999999997</v>
      </c>
      <c r="P27" s="748">
        <f t="shared" si="2"/>
        <v>33524493.599999998</v>
      </c>
      <c r="R27" s="59">
        <f>SUM(R7:R26)</f>
        <v>100.00000000000001</v>
      </c>
    </row>
    <row r="28" spans="1:18" x14ac:dyDescent="0.25">
      <c r="I28" s="749"/>
    </row>
    <row r="29" spans="1:18" x14ac:dyDescent="0.25">
      <c r="I29" s="99"/>
    </row>
  </sheetData>
  <mergeCells count="18">
    <mergeCell ref="A1:P2"/>
    <mergeCell ref="B4:B6"/>
    <mergeCell ref="C4:C6"/>
    <mergeCell ref="D4:D6"/>
    <mergeCell ref="E4:E6"/>
    <mergeCell ref="F4:F6"/>
    <mergeCell ref="G4:G6"/>
    <mergeCell ref="H4:H6"/>
    <mergeCell ref="I4:I6"/>
    <mergeCell ref="J4:J6"/>
    <mergeCell ref="R4:R6"/>
    <mergeCell ref="A27:B27"/>
    <mergeCell ref="K4:K6"/>
    <mergeCell ref="L4:L6"/>
    <mergeCell ref="M4:M6"/>
    <mergeCell ref="N4:N6"/>
    <mergeCell ref="O4:O6"/>
    <mergeCell ref="P4:P6"/>
  </mergeCells>
  <pageMargins left="0.70866141732283472" right="0.70866141732283472" top="0.74803149606299213" bottom="0.74803149606299213" header="0.31496062992125984" footer="0.31496062992125984"/>
  <pageSetup scale="5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FFFF00"/>
    <pageSetUpPr fitToPage="1"/>
  </sheetPr>
  <dimension ref="B2:P103"/>
  <sheetViews>
    <sheetView zoomScale="110" zoomScaleNormal="110" workbookViewId="0"/>
  </sheetViews>
  <sheetFormatPr baseColWidth="10" defaultRowHeight="15" x14ac:dyDescent="0.25"/>
  <cols>
    <col min="1" max="1" width="12.140625" customWidth="1"/>
    <col min="2" max="2" width="7.140625" style="171" customWidth="1"/>
    <col min="3" max="3" width="12.140625" customWidth="1"/>
    <col min="4" max="4" width="16.42578125" customWidth="1"/>
    <col min="5" max="5" width="12.28515625" customWidth="1"/>
    <col min="6" max="6" width="16" customWidth="1"/>
    <col min="7" max="7" width="13.28515625" customWidth="1"/>
    <col min="8" max="8" width="14.42578125" customWidth="1"/>
    <col min="9" max="9" width="20.85546875" style="9" customWidth="1"/>
    <col min="10" max="10" width="13.42578125" style="9" customWidth="1"/>
    <col min="11" max="12" width="17.85546875" customWidth="1"/>
    <col min="13" max="13" width="15.7109375" customWidth="1"/>
    <col min="14" max="14" width="12.85546875" customWidth="1"/>
    <col min="15" max="15" width="17.140625" customWidth="1"/>
    <col min="16" max="16" width="12.85546875" bestFit="1" customWidth="1"/>
    <col min="19" max="19" width="12.85546875" bestFit="1" customWidth="1"/>
  </cols>
  <sheetData>
    <row r="2" spans="2:16" x14ac:dyDescent="0.25">
      <c r="C2" s="8"/>
      <c r="D2" s="8"/>
      <c r="E2" s="8"/>
      <c r="F2" s="8"/>
      <c r="G2" s="8"/>
      <c r="H2" s="8"/>
      <c r="K2" s="170" t="s">
        <v>165</v>
      </c>
    </row>
    <row r="3" spans="2:16" x14ac:dyDescent="0.25">
      <c r="C3" s="8"/>
      <c r="D3" s="8"/>
      <c r="E3" s="8"/>
      <c r="F3" s="8"/>
      <c r="G3" s="8"/>
      <c r="H3" s="8"/>
      <c r="I3" s="57"/>
      <c r="J3" s="57"/>
    </row>
    <row r="4" spans="2:16" ht="15.75" thickBot="1" x14ac:dyDescent="0.3">
      <c r="C4" s="1145" t="s">
        <v>166</v>
      </c>
      <c r="D4" s="1145"/>
      <c r="E4" s="1145"/>
      <c r="F4" s="1145"/>
      <c r="G4" s="1145"/>
      <c r="H4" s="1145"/>
      <c r="I4" s="1145"/>
      <c r="J4" s="1145"/>
      <c r="K4" s="1145"/>
    </row>
    <row r="5" spans="2:16" x14ac:dyDescent="0.25">
      <c r="B5" s="1291" t="s">
        <v>455</v>
      </c>
      <c r="C5" s="1292"/>
      <c r="D5" s="1292"/>
      <c r="E5" s="1292"/>
      <c r="F5" s="1292"/>
      <c r="G5" s="1292"/>
      <c r="H5" s="1292"/>
      <c r="I5" s="1292"/>
      <c r="J5" s="1292"/>
      <c r="K5" s="1293"/>
    </row>
    <row r="6" spans="2:16" ht="15.75" thickBot="1" x14ac:dyDescent="0.3">
      <c r="B6" s="1294" t="s">
        <v>167</v>
      </c>
      <c r="C6" s="1295"/>
      <c r="D6" s="1295"/>
      <c r="E6" s="1295"/>
      <c r="F6" s="1295"/>
      <c r="G6" s="1295"/>
      <c r="H6" s="1296"/>
      <c r="I6" s="172"/>
      <c r="J6" s="173"/>
      <c r="K6" s="174" t="s">
        <v>19</v>
      </c>
    </row>
    <row r="7" spans="2:16" x14ac:dyDescent="0.25">
      <c r="B7" s="175"/>
      <c r="C7" s="118"/>
      <c r="D7" s="176"/>
      <c r="E7" s="176"/>
      <c r="F7" s="177"/>
      <c r="G7" s="178"/>
      <c r="H7" s="179"/>
      <c r="I7" s="180"/>
      <c r="J7" s="181"/>
      <c r="K7" s="179"/>
    </row>
    <row r="8" spans="2:16" x14ac:dyDescent="0.25">
      <c r="B8" s="182"/>
      <c r="C8" s="1297" t="s">
        <v>168</v>
      </c>
      <c r="D8" s="1264"/>
      <c r="E8" s="1264"/>
      <c r="F8" s="1264"/>
      <c r="G8" s="1264"/>
      <c r="H8" s="1298"/>
      <c r="I8" s="183"/>
      <c r="J8" s="184"/>
      <c r="K8" s="185"/>
      <c r="L8" s="5"/>
    </row>
    <row r="9" spans="2:16" x14ac:dyDescent="0.25">
      <c r="B9" s="182">
        <v>1</v>
      </c>
      <c r="C9" s="1221" t="s">
        <v>456</v>
      </c>
      <c r="D9" s="1222"/>
      <c r="E9" s="1222"/>
      <c r="F9" s="1222"/>
      <c r="G9" s="1222"/>
      <c r="H9" s="1223"/>
      <c r="I9" s="183"/>
      <c r="J9" s="184"/>
      <c r="K9" s="768">
        <v>9794791155</v>
      </c>
      <c r="L9" s="187">
        <f>K9*0.225</f>
        <v>2203828009.875</v>
      </c>
      <c r="M9" s="188"/>
      <c r="N9" s="188"/>
      <c r="O9" s="188"/>
      <c r="P9" s="188"/>
    </row>
    <row r="10" spans="2:16" x14ac:dyDescent="0.25">
      <c r="B10" s="182">
        <v>2</v>
      </c>
      <c r="C10" s="1221" t="s">
        <v>169</v>
      </c>
      <c r="D10" s="1222"/>
      <c r="E10" s="1222"/>
      <c r="F10" s="1222"/>
      <c r="G10" s="1222"/>
      <c r="H10" s="1223"/>
      <c r="I10" s="1241">
        <v>4340124516</v>
      </c>
      <c r="J10" s="1242"/>
      <c r="K10" s="1273"/>
      <c r="L10" s="5"/>
    </row>
    <row r="11" spans="2:16" x14ac:dyDescent="0.25">
      <c r="B11" s="182">
        <v>3</v>
      </c>
      <c r="C11" s="189" t="s">
        <v>170</v>
      </c>
      <c r="D11" s="187"/>
      <c r="E11" s="187"/>
      <c r="F11" s="187"/>
      <c r="G11" s="187"/>
      <c r="H11" s="190"/>
      <c r="I11" s="191"/>
      <c r="J11" s="192"/>
      <c r="K11" s="186">
        <f>K9-I10</f>
        <v>5454666639</v>
      </c>
      <c r="L11" s="5"/>
    </row>
    <row r="12" spans="2:16" x14ac:dyDescent="0.25">
      <c r="B12" s="182">
        <v>3</v>
      </c>
      <c r="C12" s="1221" t="s">
        <v>171</v>
      </c>
      <c r="D12" s="1222"/>
      <c r="E12" s="1222"/>
      <c r="F12" s="1222"/>
      <c r="G12" s="1222"/>
      <c r="H12" s="1223"/>
      <c r="I12" s="1241">
        <f>K11*22.5%</f>
        <v>1227299993.7750001</v>
      </c>
      <c r="J12" s="1242"/>
      <c r="K12" s="1273"/>
      <c r="L12" s="5"/>
    </row>
    <row r="13" spans="2:16" x14ac:dyDescent="0.25">
      <c r="B13" s="182">
        <v>4</v>
      </c>
      <c r="C13" s="1221" t="s">
        <v>172</v>
      </c>
      <c r="D13" s="1222"/>
      <c r="E13" s="1222"/>
      <c r="F13" s="1222"/>
      <c r="G13" s="1222"/>
      <c r="H13" s="1223"/>
      <c r="I13" s="1241">
        <f>I10*22.5%</f>
        <v>976528016.10000002</v>
      </c>
      <c r="J13" s="1242"/>
      <c r="K13" s="1273"/>
      <c r="L13" s="5"/>
    </row>
    <row r="14" spans="2:16" x14ac:dyDescent="0.25">
      <c r="B14" s="182">
        <v>5</v>
      </c>
      <c r="C14" s="1221" t="s">
        <v>383</v>
      </c>
      <c r="D14" s="1222"/>
      <c r="E14" s="1222"/>
      <c r="F14" s="1222"/>
      <c r="G14" s="1222"/>
      <c r="H14" s="1223"/>
      <c r="I14" s="1239"/>
      <c r="J14" s="1240"/>
      <c r="K14" s="1280"/>
      <c r="L14" s="5"/>
    </row>
    <row r="15" spans="2:16" x14ac:dyDescent="0.25">
      <c r="B15" s="182"/>
      <c r="C15" s="1221" t="s">
        <v>457</v>
      </c>
      <c r="D15" s="1222"/>
      <c r="E15" s="1222"/>
      <c r="F15" s="1222"/>
      <c r="G15" s="1222"/>
      <c r="H15" s="1223"/>
      <c r="I15" s="1241">
        <f>I12*60%</f>
        <v>736379996.26499999</v>
      </c>
      <c r="J15" s="1242"/>
      <c r="K15" s="1273"/>
      <c r="L15" s="5"/>
    </row>
    <row r="16" spans="2:16" ht="15.75" thickBot="1" x14ac:dyDescent="0.3">
      <c r="B16" s="182"/>
      <c r="C16" s="1221" t="s">
        <v>458</v>
      </c>
      <c r="D16" s="1222"/>
      <c r="E16" s="1222"/>
      <c r="F16" s="1222"/>
      <c r="G16" s="1222"/>
      <c r="H16" s="1223"/>
      <c r="I16" s="1241">
        <f>I12*30%</f>
        <v>368189998.13249999</v>
      </c>
      <c r="J16" s="1242"/>
      <c r="K16" s="1273"/>
      <c r="L16" s="5"/>
    </row>
    <row r="17" spans="2:12" ht="15.75" thickBot="1" x14ac:dyDescent="0.3">
      <c r="B17" s="182"/>
      <c r="C17" s="1274" t="s">
        <v>459</v>
      </c>
      <c r="D17" s="1275"/>
      <c r="E17" s="1275"/>
      <c r="F17" s="1275"/>
      <c r="G17" s="1275"/>
      <c r="H17" s="1276"/>
      <c r="I17" s="1277">
        <f>I12*10%</f>
        <v>122729999.37750001</v>
      </c>
      <c r="J17" s="1278"/>
      <c r="K17" s="1279"/>
      <c r="L17" s="5"/>
    </row>
    <row r="18" spans="2:12" ht="15.75" thickBot="1" x14ac:dyDescent="0.3">
      <c r="B18" s="182"/>
      <c r="C18" s="1221" t="s">
        <v>173</v>
      </c>
      <c r="D18" s="1222"/>
      <c r="E18" s="1222"/>
      <c r="F18" s="1222"/>
      <c r="G18" s="1222"/>
      <c r="H18" s="1223"/>
      <c r="I18" s="193">
        <f>SUM(I15:I17)</f>
        <v>1227299993.7750001</v>
      </c>
      <c r="J18" s="194"/>
      <c r="K18" s="186">
        <f>SUM(I18)</f>
        <v>1227299993.7750001</v>
      </c>
      <c r="L18" s="101"/>
    </row>
    <row r="19" spans="2:12" ht="15.75" thickBot="1" x14ac:dyDescent="0.3">
      <c r="B19" s="195">
        <v>6</v>
      </c>
      <c r="C19" s="1281" t="s">
        <v>460</v>
      </c>
      <c r="D19" s="1282"/>
      <c r="E19" s="1282"/>
      <c r="F19" s="1282"/>
      <c r="G19" s="1282"/>
      <c r="H19" s="1283"/>
      <c r="I19" s="1284">
        <f>I12+I13</f>
        <v>2203828009.875</v>
      </c>
      <c r="J19" s="1285"/>
      <c r="K19" s="1286"/>
      <c r="L19" s="5"/>
    </row>
    <row r="20" spans="2:12" x14ac:dyDescent="0.25">
      <c r="B20" s="466"/>
      <c r="C20" s="1219"/>
      <c r="D20" s="1219"/>
      <c r="E20" s="1219"/>
      <c r="F20" s="1219"/>
      <c r="G20" s="1219"/>
      <c r="H20" s="1219"/>
      <c r="I20" s="1299"/>
      <c r="J20" s="1300"/>
      <c r="K20" s="1301"/>
      <c r="L20" s="5"/>
    </row>
    <row r="21" spans="2:12" x14ac:dyDescent="0.25">
      <c r="B21" s="467"/>
      <c r="C21" s="1264" t="s">
        <v>174</v>
      </c>
      <c r="D21" s="1264"/>
      <c r="E21" s="1264"/>
      <c r="F21" s="1264"/>
      <c r="G21" s="1264"/>
      <c r="H21" s="1264"/>
      <c r="I21" s="1303"/>
      <c r="J21" s="1242"/>
      <c r="K21" s="1273"/>
      <c r="L21" s="5"/>
    </row>
    <row r="22" spans="2:12" x14ac:dyDescent="0.25">
      <c r="B22" s="467">
        <v>7</v>
      </c>
      <c r="C22" s="1222" t="s">
        <v>461</v>
      </c>
      <c r="D22" s="1222"/>
      <c r="E22" s="1222"/>
      <c r="F22" s="1222"/>
      <c r="G22" s="1222"/>
      <c r="H22" s="1222"/>
      <c r="I22" s="449"/>
      <c r="J22" s="450"/>
      <c r="K22" s="768">
        <v>676925979</v>
      </c>
      <c r="L22" s="5"/>
    </row>
    <row r="23" spans="2:12" x14ac:dyDescent="0.25">
      <c r="B23" s="467">
        <v>8</v>
      </c>
      <c r="C23" s="1222" t="s">
        <v>175</v>
      </c>
      <c r="D23" s="1222"/>
      <c r="E23" s="1222"/>
      <c r="F23" s="1222"/>
      <c r="G23" s="1222"/>
      <c r="H23" s="1222"/>
      <c r="I23" s="449"/>
      <c r="J23" s="450"/>
      <c r="K23" s="452">
        <v>432473544</v>
      </c>
      <c r="L23" s="5"/>
    </row>
    <row r="24" spans="2:12" x14ac:dyDescent="0.25">
      <c r="B24" s="467">
        <v>9</v>
      </c>
      <c r="C24" s="448" t="s">
        <v>462</v>
      </c>
      <c r="D24" s="448"/>
      <c r="E24" s="448"/>
      <c r="F24" s="448"/>
      <c r="G24" s="448"/>
      <c r="H24" s="448"/>
      <c r="I24" s="449"/>
      <c r="J24" s="450"/>
      <c r="K24" s="452">
        <f>K22-K23</f>
        <v>244452435</v>
      </c>
      <c r="L24" s="5"/>
    </row>
    <row r="25" spans="2:12" x14ac:dyDescent="0.25">
      <c r="B25" s="467">
        <v>10</v>
      </c>
      <c r="C25" s="1222" t="s">
        <v>176</v>
      </c>
      <c r="D25" s="1222"/>
      <c r="E25" s="1222"/>
      <c r="F25" s="1222"/>
      <c r="G25" s="1222"/>
      <c r="H25" s="1222"/>
      <c r="I25" s="449"/>
      <c r="J25" s="450"/>
      <c r="K25" s="452">
        <f>K24</f>
        <v>244452435</v>
      </c>
      <c r="L25" s="5"/>
    </row>
    <row r="26" spans="2:12" x14ac:dyDescent="0.25">
      <c r="B26" s="467"/>
      <c r="C26" s="1289" t="s">
        <v>463</v>
      </c>
      <c r="D26" s="1222"/>
      <c r="E26" s="1222"/>
      <c r="F26" s="1222"/>
      <c r="G26" s="1222"/>
      <c r="H26" s="1290"/>
      <c r="I26" s="463"/>
      <c r="J26" s="464"/>
      <c r="K26" s="452">
        <f>K25*70%</f>
        <v>171116704.5</v>
      </c>
      <c r="L26" s="5"/>
    </row>
    <row r="27" spans="2:12" x14ac:dyDescent="0.25">
      <c r="B27" s="467"/>
      <c r="C27" s="465">
        <v>0.5</v>
      </c>
      <c r="D27" s="448"/>
      <c r="E27" s="448"/>
      <c r="F27" s="448"/>
      <c r="G27" s="448"/>
      <c r="H27" s="451"/>
      <c r="I27" s="463"/>
      <c r="J27" s="464"/>
      <c r="K27" s="452">
        <f>K26*C27</f>
        <v>85558352.25</v>
      </c>
      <c r="L27" s="5"/>
    </row>
    <row r="28" spans="2:12" x14ac:dyDescent="0.25">
      <c r="B28" s="467"/>
      <c r="C28" s="465">
        <v>0.5</v>
      </c>
      <c r="D28" s="448"/>
      <c r="E28" s="448"/>
      <c r="F28" s="448"/>
      <c r="G28" s="448"/>
      <c r="H28" s="451"/>
      <c r="I28" s="463"/>
      <c r="J28" s="464"/>
      <c r="K28" s="452">
        <f>K26*C28</f>
        <v>85558352.25</v>
      </c>
      <c r="L28" s="5"/>
    </row>
    <row r="29" spans="2:12" x14ac:dyDescent="0.25">
      <c r="B29" s="467"/>
      <c r="C29" s="1289" t="s">
        <v>464</v>
      </c>
      <c r="D29" s="1222"/>
      <c r="E29" s="1222"/>
      <c r="F29" s="1222"/>
      <c r="G29" s="1222"/>
      <c r="H29" s="1290"/>
      <c r="I29" s="463"/>
      <c r="J29" s="464"/>
      <c r="K29" s="452">
        <f>K25*30%</f>
        <v>73335730.5</v>
      </c>
      <c r="L29" s="5"/>
    </row>
    <row r="30" spans="2:12" ht="15.75" thickBot="1" x14ac:dyDescent="0.3">
      <c r="B30" s="467"/>
      <c r="C30" s="1255" t="s">
        <v>278</v>
      </c>
      <c r="D30" s="1255"/>
      <c r="E30" s="1255"/>
      <c r="F30" s="1255"/>
      <c r="G30" s="1255"/>
      <c r="H30" s="1255"/>
      <c r="I30" s="468"/>
      <c r="J30" s="469"/>
      <c r="K30" s="470">
        <f>K26+K29</f>
        <v>244452435</v>
      </c>
      <c r="L30" s="5"/>
    </row>
    <row r="31" spans="2:12" ht="15.75" thickBot="1" x14ac:dyDescent="0.3">
      <c r="B31" s="471">
        <v>8</v>
      </c>
      <c r="C31" s="1302" t="s">
        <v>465</v>
      </c>
      <c r="D31" s="1302"/>
      <c r="E31" s="1302"/>
      <c r="F31" s="1302"/>
      <c r="G31" s="1302"/>
      <c r="H31" s="1302"/>
      <c r="I31" s="472"/>
      <c r="J31" s="473"/>
      <c r="K31" s="474">
        <f>K23+K24</f>
        <v>676925979</v>
      </c>
      <c r="L31" s="5"/>
    </row>
    <row r="32" spans="2:12" x14ac:dyDescent="0.25">
      <c r="B32" s="466"/>
      <c r="C32" s="475"/>
      <c r="D32" s="476"/>
      <c r="E32" s="476"/>
      <c r="F32" s="476"/>
      <c r="G32" s="476"/>
      <c r="H32" s="477"/>
      <c r="I32" s="478"/>
      <c r="J32" s="479"/>
      <c r="K32" s="480"/>
      <c r="L32" s="5"/>
    </row>
    <row r="33" spans="2:15" x14ac:dyDescent="0.25">
      <c r="B33" s="467"/>
      <c r="C33" s="1263" t="s">
        <v>177</v>
      </c>
      <c r="D33" s="1264"/>
      <c r="E33" s="1264"/>
      <c r="F33" s="1264"/>
      <c r="G33" s="1264"/>
      <c r="H33" s="1265"/>
      <c r="I33" s="449"/>
      <c r="J33" s="450"/>
      <c r="K33" s="769">
        <v>460935484</v>
      </c>
      <c r="L33" s="5"/>
    </row>
    <row r="34" spans="2:15" x14ac:dyDescent="0.25">
      <c r="B34" s="467">
        <v>9</v>
      </c>
      <c r="C34" s="1222" t="s">
        <v>466</v>
      </c>
      <c r="D34" s="1222"/>
      <c r="E34" s="1222"/>
      <c r="F34" s="1222"/>
      <c r="G34" s="1222"/>
      <c r="H34" s="1222"/>
      <c r="I34" s="449"/>
      <c r="J34" s="450"/>
      <c r="K34" s="452">
        <f>K33*22.5%</f>
        <v>103710483.90000001</v>
      </c>
      <c r="L34" s="101">
        <f>K34*22.5%</f>
        <v>23334858.877500001</v>
      </c>
    </row>
    <row r="35" spans="2:15" ht="15.75" thickBot="1" x14ac:dyDescent="0.3">
      <c r="B35" s="467">
        <v>10</v>
      </c>
      <c r="C35" s="1222" t="s">
        <v>178</v>
      </c>
      <c r="D35" s="1222"/>
      <c r="E35" s="1222"/>
      <c r="F35" s="1222"/>
      <c r="G35" s="1222"/>
      <c r="H35" s="1222"/>
      <c r="I35" s="449"/>
      <c r="J35" s="450"/>
      <c r="K35" s="452">
        <v>44079525</v>
      </c>
      <c r="L35" s="101">
        <f>K35*0.225</f>
        <v>9917893.125</v>
      </c>
      <c r="N35" s="446"/>
    </row>
    <row r="36" spans="2:15" ht="15.75" thickBot="1" x14ac:dyDescent="0.3">
      <c r="B36" s="481">
        <v>11</v>
      </c>
      <c r="C36" s="484" t="s">
        <v>467</v>
      </c>
      <c r="D36" s="485"/>
      <c r="E36" s="485"/>
      <c r="F36" s="485"/>
      <c r="G36" s="485"/>
      <c r="H36" s="486"/>
      <c r="I36" s="473"/>
      <c r="J36" s="473"/>
      <c r="K36" s="474">
        <f>K34-K35</f>
        <v>59630958.900000006</v>
      </c>
      <c r="L36" s="101">
        <f>K36*22.5%</f>
        <v>13416965.752500001</v>
      </c>
    </row>
    <row r="37" spans="2:15" x14ac:dyDescent="0.25">
      <c r="B37" s="466"/>
      <c r="C37" s="475"/>
      <c r="D37" s="476"/>
      <c r="E37" s="476"/>
      <c r="F37" s="476"/>
      <c r="G37" s="476"/>
      <c r="H37" s="477"/>
      <c r="I37" s="478"/>
      <c r="J37" s="479"/>
      <c r="K37" s="480"/>
      <c r="L37" s="5"/>
    </row>
    <row r="38" spans="2:15" x14ac:dyDescent="0.25">
      <c r="B38" s="467"/>
      <c r="C38" s="1263" t="s">
        <v>179</v>
      </c>
      <c r="D38" s="1264"/>
      <c r="E38" s="1264"/>
      <c r="F38" s="1264"/>
      <c r="G38" s="1264"/>
      <c r="H38" s="1265"/>
      <c r="I38" s="880">
        <v>575125745</v>
      </c>
      <c r="J38" s="881"/>
      <c r="K38" s="882"/>
      <c r="L38" s="5"/>
    </row>
    <row r="39" spans="2:15" x14ac:dyDescent="0.25">
      <c r="B39" s="467">
        <v>12</v>
      </c>
      <c r="C39" s="1222" t="s">
        <v>468</v>
      </c>
      <c r="D39" s="1222"/>
      <c r="E39" s="1222"/>
      <c r="F39" s="1222"/>
      <c r="G39" s="1222"/>
      <c r="H39" s="1222"/>
      <c r="I39" s="457"/>
      <c r="J39" s="458"/>
      <c r="K39" s="883">
        <v>305850079</v>
      </c>
      <c r="L39" s="101"/>
    </row>
    <row r="40" spans="2:15" ht="15.75" thickBot="1" x14ac:dyDescent="0.3">
      <c r="B40" s="467">
        <v>13</v>
      </c>
      <c r="C40" s="1222" t="s">
        <v>178</v>
      </c>
      <c r="D40" s="1222"/>
      <c r="E40" s="1222"/>
      <c r="F40" s="1222"/>
      <c r="G40" s="1222"/>
      <c r="H40" s="1222"/>
      <c r="I40" s="461"/>
      <c r="J40" s="450"/>
      <c r="K40" s="878"/>
      <c r="L40" s="101">
        <f>K40/22.5%</f>
        <v>0</v>
      </c>
      <c r="M40" s="99"/>
    </row>
    <row r="41" spans="2:15" ht="15.75" thickBot="1" x14ac:dyDescent="0.3">
      <c r="B41" s="481">
        <v>14</v>
      </c>
      <c r="C41" s="484" t="s">
        <v>469</v>
      </c>
      <c r="D41" s="485"/>
      <c r="E41" s="485"/>
      <c r="F41" s="485"/>
      <c r="G41" s="485"/>
      <c r="H41" s="486"/>
      <c r="I41" s="499"/>
      <c r="J41" s="473"/>
      <c r="K41" s="474">
        <f>K39*22.5%</f>
        <v>68816267.775000006</v>
      </c>
      <c r="L41" s="101"/>
      <c r="M41" s="99"/>
      <c r="O41" s="99">
        <v>10658090</v>
      </c>
    </row>
    <row r="42" spans="2:15" x14ac:dyDescent="0.25">
      <c r="B42" s="466"/>
      <c r="C42" s="488"/>
      <c r="D42" s="488"/>
      <c r="E42" s="488"/>
      <c r="F42" s="488"/>
      <c r="G42" s="488"/>
      <c r="H42" s="488"/>
      <c r="I42" s="478"/>
      <c r="J42" s="479"/>
      <c r="K42" s="480"/>
      <c r="L42" s="101"/>
      <c r="M42" s="99"/>
      <c r="O42" s="446">
        <v>0.22500000000000001</v>
      </c>
    </row>
    <row r="43" spans="2:15" x14ac:dyDescent="0.25">
      <c r="B43" s="467"/>
      <c r="C43" s="1263" t="s">
        <v>180</v>
      </c>
      <c r="D43" s="1264"/>
      <c r="E43" s="1264"/>
      <c r="F43" s="1264"/>
      <c r="G43" s="1264"/>
      <c r="H43" s="1265"/>
      <c r="I43" s="459"/>
      <c r="J43" s="460"/>
      <c r="K43" s="770">
        <v>864580799</v>
      </c>
      <c r="L43" s="5"/>
      <c r="O43" s="99">
        <f>O41*O42</f>
        <v>2398070.25</v>
      </c>
    </row>
    <row r="44" spans="2:15" x14ac:dyDescent="0.25">
      <c r="B44" s="467">
        <v>15</v>
      </c>
      <c r="C44" s="1222" t="s">
        <v>470</v>
      </c>
      <c r="D44" s="1222"/>
      <c r="E44" s="1222"/>
      <c r="F44" s="1222"/>
      <c r="G44" s="1222"/>
      <c r="H44" s="1222"/>
      <c r="I44" s="457"/>
      <c r="J44" s="458"/>
      <c r="K44" s="489">
        <f>K43*28%</f>
        <v>242082623.72000003</v>
      </c>
      <c r="L44" s="5"/>
    </row>
    <row r="45" spans="2:15" ht="15.75" thickBot="1" x14ac:dyDescent="0.3">
      <c r="B45" s="467">
        <v>16</v>
      </c>
      <c r="C45" s="1222" t="s">
        <v>181</v>
      </c>
      <c r="D45" s="1222"/>
      <c r="E45" s="1222"/>
      <c r="F45" s="1222"/>
      <c r="G45" s="1222"/>
      <c r="H45" s="1222"/>
      <c r="I45" s="449"/>
      <c r="J45" s="450"/>
      <c r="K45" s="452">
        <v>0</v>
      </c>
      <c r="L45" s="5"/>
    </row>
    <row r="46" spans="2:15" ht="15.75" thickBot="1" x14ac:dyDescent="0.3">
      <c r="B46" s="481">
        <v>17</v>
      </c>
      <c r="C46" s="484" t="s">
        <v>471</v>
      </c>
      <c r="D46" s="485"/>
      <c r="E46" s="485"/>
      <c r="F46" s="485"/>
      <c r="G46" s="485"/>
      <c r="H46" s="486"/>
      <c r="I46" s="472"/>
      <c r="J46" s="473"/>
      <c r="K46" s="474">
        <f>K44-K45</f>
        <v>242082623.72000003</v>
      </c>
      <c r="L46" s="5"/>
    </row>
    <row r="47" spans="2:15" x14ac:dyDescent="0.25">
      <c r="B47" s="466"/>
      <c r="C47" s="488"/>
      <c r="D47" s="488"/>
      <c r="E47" s="488"/>
      <c r="F47" s="488"/>
      <c r="G47" s="488"/>
      <c r="H47" s="488"/>
      <c r="I47" s="478"/>
      <c r="J47" s="479"/>
      <c r="K47" s="480"/>
      <c r="L47" s="5"/>
    </row>
    <row r="48" spans="2:15" x14ac:dyDescent="0.25">
      <c r="B48" s="467"/>
      <c r="C48" s="1263" t="s">
        <v>182</v>
      </c>
      <c r="D48" s="1264"/>
      <c r="E48" s="1264"/>
      <c r="F48" s="1264"/>
      <c r="G48" s="1264"/>
      <c r="H48" s="1265"/>
      <c r="I48" s="449"/>
      <c r="J48" s="450"/>
      <c r="K48" s="769">
        <v>236928883</v>
      </c>
      <c r="L48" s="5"/>
    </row>
    <row r="49" spans="2:15" x14ac:dyDescent="0.25">
      <c r="B49" s="467">
        <v>18</v>
      </c>
      <c r="C49" s="1222" t="s">
        <v>472</v>
      </c>
      <c r="D49" s="1222"/>
      <c r="E49" s="1222"/>
      <c r="F49" s="1222"/>
      <c r="G49" s="1222"/>
      <c r="H49" s="1222"/>
      <c r="I49" s="449"/>
      <c r="J49" s="450"/>
      <c r="K49" s="452">
        <f>K48*22.5%</f>
        <v>53308998.675000004</v>
      </c>
      <c r="L49" s="101">
        <f>K49*0.225</f>
        <v>11994524.701875001</v>
      </c>
    </row>
    <row r="50" spans="2:15" ht="15.75" thickBot="1" x14ac:dyDescent="0.3">
      <c r="B50" s="467">
        <v>19</v>
      </c>
      <c r="C50" s="1222" t="s">
        <v>183</v>
      </c>
      <c r="D50" s="1222"/>
      <c r="E50" s="1222"/>
      <c r="F50" s="1222"/>
      <c r="G50" s="1222"/>
      <c r="H50" s="1222"/>
      <c r="I50" s="449"/>
      <c r="J50" s="450"/>
      <c r="K50" s="452">
        <v>20610000</v>
      </c>
      <c r="L50" s="101">
        <f>K50*0.225</f>
        <v>4637250</v>
      </c>
    </row>
    <row r="51" spans="2:15" ht="15.75" thickBot="1" x14ac:dyDescent="0.3">
      <c r="B51" s="481">
        <v>20</v>
      </c>
      <c r="C51" s="484" t="s">
        <v>473</v>
      </c>
      <c r="D51" s="485"/>
      <c r="E51" s="485"/>
      <c r="F51" s="485"/>
      <c r="G51" s="485"/>
      <c r="H51" s="486"/>
      <c r="I51" s="472"/>
      <c r="J51" s="473"/>
      <c r="K51" s="474">
        <f>K49-K50</f>
        <v>32698998.675000004</v>
      </c>
      <c r="L51" s="101">
        <f>K51*0.225</f>
        <v>7357274.7018750012</v>
      </c>
    </row>
    <row r="52" spans="2:15" x14ac:dyDescent="0.25">
      <c r="B52" s="490"/>
      <c r="C52" s="475"/>
      <c r="D52" s="476"/>
      <c r="E52" s="476"/>
      <c r="F52" s="476"/>
      <c r="G52" s="476"/>
      <c r="H52" s="477"/>
      <c r="I52" s="478"/>
      <c r="J52" s="479"/>
      <c r="K52" s="480"/>
      <c r="L52" s="101"/>
    </row>
    <row r="53" spans="2:15" x14ac:dyDescent="0.25">
      <c r="B53" s="495"/>
      <c r="C53" s="1263" t="s">
        <v>184</v>
      </c>
      <c r="D53" s="1264"/>
      <c r="E53" s="1264"/>
      <c r="F53" s="1264"/>
      <c r="G53" s="1264"/>
      <c r="H53" s="1265"/>
      <c r="I53" s="449"/>
      <c r="J53" s="450"/>
      <c r="K53" s="771">
        <v>348424461</v>
      </c>
      <c r="L53" s="5"/>
    </row>
    <row r="54" spans="2:15" x14ac:dyDescent="0.25">
      <c r="B54" s="495">
        <v>21</v>
      </c>
      <c r="C54" s="1289" t="s">
        <v>474</v>
      </c>
      <c r="D54" s="1222"/>
      <c r="E54" s="1222"/>
      <c r="F54" s="1222"/>
      <c r="G54" s="1222"/>
      <c r="H54" s="1290"/>
      <c r="I54" s="449"/>
      <c r="J54" s="450"/>
      <c r="K54" s="452">
        <f>K53*22.5%</f>
        <v>78395503.725000009</v>
      </c>
      <c r="L54" s="101">
        <f>K54*0.225</f>
        <v>17638988.338125002</v>
      </c>
    </row>
    <row r="55" spans="2:15" ht="15.75" thickBot="1" x14ac:dyDescent="0.3">
      <c r="B55" s="495">
        <v>22</v>
      </c>
      <c r="C55" s="1287" t="s">
        <v>183</v>
      </c>
      <c r="D55" s="1255"/>
      <c r="E55" s="1255"/>
      <c r="F55" s="1255"/>
      <c r="G55" s="1255"/>
      <c r="H55" s="1288"/>
      <c r="I55" s="449"/>
      <c r="J55" s="450"/>
      <c r="K55" s="452">
        <v>0</v>
      </c>
      <c r="L55" s="101">
        <f>K55*0.225</f>
        <v>0</v>
      </c>
    </row>
    <row r="56" spans="2:15" ht="15.75" thickBot="1" x14ac:dyDescent="0.3">
      <c r="B56" s="471">
        <v>23</v>
      </c>
      <c r="C56" s="453" t="s">
        <v>475</v>
      </c>
      <c r="D56" s="454"/>
      <c r="E56" s="454"/>
      <c r="F56" s="454"/>
      <c r="G56" s="454"/>
      <c r="H56" s="455"/>
      <c r="I56" s="487"/>
      <c r="J56" s="482"/>
      <c r="K56" s="483">
        <f>K54-K55</f>
        <v>78395503.725000009</v>
      </c>
      <c r="L56" s="101">
        <f>K56*0.225</f>
        <v>17638988.338125002</v>
      </c>
    </row>
    <row r="57" spans="2:15" x14ac:dyDescent="0.25">
      <c r="B57" s="496"/>
      <c r="C57" s="491"/>
      <c r="D57" s="488"/>
      <c r="E57" s="488"/>
      <c r="F57" s="488"/>
      <c r="G57" s="488"/>
      <c r="H57" s="492"/>
      <c r="I57" s="478"/>
      <c r="J57" s="479"/>
      <c r="K57" s="480"/>
      <c r="L57" s="5"/>
      <c r="O57" s="196"/>
    </row>
    <row r="58" spans="2:15" x14ac:dyDescent="0.25">
      <c r="B58" s="493"/>
      <c r="C58" s="1263" t="s">
        <v>185</v>
      </c>
      <c r="D58" s="1264"/>
      <c r="E58" s="1264"/>
      <c r="F58" s="1264"/>
      <c r="G58" s="1264"/>
      <c r="H58" s="1265"/>
      <c r="I58" s="449"/>
      <c r="J58" s="450"/>
      <c r="K58" s="769">
        <v>72637096</v>
      </c>
      <c r="L58" s="101"/>
      <c r="O58" s="125"/>
    </row>
    <row r="59" spans="2:15" x14ac:dyDescent="0.25">
      <c r="B59" s="493">
        <v>24</v>
      </c>
      <c r="C59" s="1289" t="s">
        <v>476</v>
      </c>
      <c r="D59" s="1222"/>
      <c r="E59" s="1222"/>
      <c r="F59" s="1222"/>
      <c r="G59" s="1222"/>
      <c r="H59" s="1290"/>
      <c r="I59" s="449"/>
      <c r="J59" s="450"/>
      <c r="K59" s="452">
        <f>K58*22.5%</f>
        <v>16343346.6</v>
      </c>
      <c r="L59" s="101">
        <f>K59*0.225</f>
        <v>3677252.9849999999</v>
      </c>
      <c r="O59" s="197"/>
    </row>
    <row r="60" spans="2:15" ht="15.75" thickBot="1" x14ac:dyDescent="0.3">
      <c r="B60" s="493">
        <v>25</v>
      </c>
      <c r="C60" s="1287"/>
      <c r="D60" s="1255"/>
      <c r="E60" s="1255"/>
      <c r="F60" s="1255"/>
      <c r="G60" s="1255"/>
      <c r="H60" s="1288"/>
      <c r="I60" s="449"/>
      <c r="J60" s="450"/>
      <c r="K60" s="452"/>
      <c r="L60" s="101">
        <f>K60*0.225</f>
        <v>0</v>
      </c>
    </row>
    <row r="61" spans="2:15" ht="15.75" thickBot="1" x14ac:dyDescent="0.3">
      <c r="B61" s="481">
        <v>26</v>
      </c>
      <c r="C61" s="484" t="s">
        <v>477</v>
      </c>
      <c r="D61" s="485"/>
      <c r="E61" s="485"/>
      <c r="F61" s="485"/>
      <c r="G61" s="485"/>
      <c r="H61" s="486"/>
      <c r="I61" s="472"/>
      <c r="J61" s="473"/>
      <c r="K61" s="474">
        <f>K59-K60</f>
        <v>16343346.6</v>
      </c>
      <c r="L61" s="101">
        <f>K61*0.225</f>
        <v>3677252.9849999999</v>
      </c>
    </row>
    <row r="62" spans="2:15" x14ac:dyDescent="0.25">
      <c r="B62" s="466"/>
      <c r="C62" s="491"/>
      <c r="D62" s="488"/>
      <c r="E62" s="488"/>
      <c r="F62" s="488"/>
      <c r="G62" s="488"/>
      <c r="H62" s="492"/>
      <c r="I62" s="478"/>
      <c r="J62" s="479"/>
      <c r="K62" s="480"/>
      <c r="L62" s="101"/>
    </row>
    <row r="63" spans="2:15" x14ac:dyDescent="0.25">
      <c r="B63" s="467"/>
      <c r="C63" s="1263" t="s">
        <v>186</v>
      </c>
      <c r="D63" s="1264"/>
      <c r="E63" s="1264"/>
      <c r="F63" s="1264"/>
      <c r="G63" s="1264"/>
      <c r="H63" s="1265"/>
      <c r="I63" s="449"/>
      <c r="J63" s="450"/>
      <c r="K63" s="769">
        <v>14488213</v>
      </c>
      <c r="L63" s="101"/>
    </row>
    <row r="64" spans="2:15" x14ac:dyDescent="0.25">
      <c r="B64" s="467">
        <v>27</v>
      </c>
      <c r="C64" s="1266" t="s">
        <v>478</v>
      </c>
      <c r="D64" s="1266"/>
      <c r="E64" s="1266"/>
      <c r="F64" s="1266"/>
      <c r="G64" s="1266"/>
      <c r="H64" s="1266"/>
      <c r="I64" s="449"/>
      <c r="J64" s="450"/>
      <c r="K64" s="452">
        <f>K63*22.5%</f>
        <v>3259847.9250000003</v>
      </c>
      <c r="L64" s="101">
        <f>K64*0.225</f>
        <v>733465.78312500007</v>
      </c>
    </row>
    <row r="65" spans="2:12" ht="15.75" thickBot="1" x14ac:dyDescent="0.3">
      <c r="B65" s="467">
        <v>28</v>
      </c>
      <c r="C65" s="1222"/>
      <c r="D65" s="1222"/>
      <c r="E65" s="1222"/>
      <c r="F65" s="1222"/>
      <c r="G65" s="1222"/>
      <c r="H65" s="1222"/>
      <c r="I65" s="449"/>
      <c r="J65" s="450"/>
      <c r="K65" s="452"/>
      <c r="L65" s="5"/>
    </row>
    <row r="66" spans="2:12" ht="15.75" thickBot="1" x14ac:dyDescent="0.3">
      <c r="B66" s="481">
        <v>29</v>
      </c>
      <c r="C66" s="453"/>
      <c r="D66" s="454"/>
      <c r="E66" s="454"/>
      <c r="F66" s="454"/>
      <c r="G66" s="454"/>
      <c r="H66" s="455"/>
      <c r="I66" s="487"/>
      <c r="J66" s="482"/>
      <c r="K66" s="456">
        <f>K64-K65</f>
        <v>3259847.9250000003</v>
      </c>
      <c r="L66" s="5"/>
    </row>
    <row r="67" spans="2:12" ht="15.75" thickBot="1" x14ac:dyDescent="0.3">
      <c r="B67" s="494"/>
      <c r="C67" s="1267" t="s">
        <v>65</v>
      </c>
      <c r="D67" s="1268"/>
      <c r="E67" s="1268"/>
      <c r="F67" s="1268"/>
      <c r="G67" s="1268"/>
      <c r="H67" s="1269"/>
      <c r="I67" s="1270"/>
      <c r="J67" s="1271"/>
      <c r="K67" s="1272"/>
      <c r="L67" s="5"/>
    </row>
    <row r="68" spans="2:12" ht="15.75" thickBot="1" x14ac:dyDescent="0.3">
      <c r="B68" s="1216" t="s">
        <v>185</v>
      </c>
      <c r="C68" s="1217"/>
      <c r="D68" s="1217"/>
      <c r="E68" s="1217"/>
      <c r="F68" s="1217"/>
      <c r="G68" s="1217"/>
      <c r="H68" s="1217"/>
      <c r="I68" s="1217"/>
      <c r="J68" s="1217"/>
      <c r="K68" s="1217"/>
      <c r="L68" s="5"/>
    </row>
    <row r="69" spans="2:12" ht="15.75" thickBot="1" x14ac:dyDescent="0.3">
      <c r="B69" s="182">
        <v>1</v>
      </c>
      <c r="C69" s="1218" t="s">
        <v>367</v>
      </c>
      <c r="D69" s="1219"/>
      <c r="E69" s="1219"/>
      <c r="F69" s="1219"/>
      <c r="G69" s="1219"/>
      <c r="H69" s="1220"/>
      <c r="I69" s="183"/>
      <c r="J69" s="184"/>
      <c r="K69" s="841">
        <f>K58</f>
        <v>72637096</v>
      </c>
      <c r="L69" s="5"/>
    </row>
    <row r="70" spans="2:12" ht="15.75" thickBot="1" x14ac:dyDescent="0.3">
      <c r="B70" s="182">
        <v>2</v>
      </c>
      <c r="C70" s="1221" t="s">
        <v>368</v>
      </c>
      <c r="D70" s="1222"/>
      <c r="E70" s="1222"/>
      <c r="F70" s="1222"/>
      <c r="G70" s="1222"/>
      <c r="H70" s="1223"/>
      <c r="I70" s="726"/>
      <c r="J70" s="458"/>
      <c r="K70" s="842">
        <f>K69*22.5%</f>
        <v>16343346.6</v>
      </c>
      <c r="L70" s="5"/>
    </row>
    <row r="71" spans="2:12" ht="15.75" thickBot="1" x14ac:dyDescent="0.3">
      <c r="B71" s="182"/>
      <c r="C71" s="833"/>
      <c r="D71" s="832"/>
      <c r="E71" s="832"/>
      <c r="F71" s="832"/>
      <c r="G71" s="832"/>
      <c r="H71" s="834"/>
      <c r="I71" s="836"/>
      <c r="J71" s="837"/>
      <c r="K71" s="835"/>
      <c r="L71" s="5"/>
    </row>
    <row r="72" spans="2:12" x14ac:dyDescent="0.25">
      <c r="B72" s="493"/>
      <c r="C72" s="1243" t="s">
        <v>369</v>
      </c>
      <c r="D72" s="1244"/>
      <c r="E72" s="1244"/>
      <c r="F72" s="1244"/>
      <c r="G72" s="1244"/>
      <c r="H72" s="1244"/>
      <c r="I72" s="1245">
        <f>K70*60%</f>
        <v>9806007.959999999</v>
      </c>
      <c r="J72" s="1245"/>
      <c r="K72" s="1246"/>
      <c r="L72" s="5"/>
    </row>
    <row r="73" spans="2:12" x14ac:dyDescent="0.25">
      <c r="B73" s="493"/>
      <c r="C73" s="1250" t="s">
        <v>370</v>
      </c>
      <c r="D73" s="1251"/>
      <c r="E73" s="1251"/>
      <c r="F73" s="1251"/>
      <c r="G73" s="1251"/>
      <c r="H73" s="1251"/>
      <c r="I73" s="1252">
        <f>K70*30%</f>
        <v>4903003.9799999995</v>
      </c>
      <c r="J73" s="1252"/>
      <c r="K73" s="1253"/>
      <c r="L73" s="5"/>
    </row>
    <row r="74" spans="2:12" x14ac:dyDescent="0.25">
      <c r="B74" s="493"/>
      <c r="C74" s="1250" t="s">
        <v>371</v>
      </c>
      <c r="D74" s="1251"/>
      <c r="E74" s="1251"/>
      <c r="F74" s="1251"/>
      <c r="G74" s="1251"/>
      <c r="H74" s="1251"/>
      <c r="I74" s="1252">
        <f>K70*10%</f>
        <v>1634334.6600000001</v>
      </c>
      <c r="J74" s="1252"/>
      <c r="K74" s="1253"/>
      <c r="L74" s="5"/>
    </row>
    <row r="75" spans="2:12" x14ac:dyDescent="0.25">
      <c r="B75" s="493"/>
      <c r="C75" s="1250"/>
      <c r="D75" s="1251"/>
      <c r="E75" s="1251"/>
      <c r="F75" s="1251"/>
      <c r="G75" s="1251"/>
      <c r="H75" s="1251"/>
      <c r="I75" s="843"/>
      <c r="J75" s="844"/>
      <c r="K75" s="845"/>
      <c r="L75" s="5"/>
    </row>
    <row r="76" spans="2:12" ht="15.75" thickBot="1" x14ac:dyDescent="0.3">
      <c r="B76" s="481">
        <v>4</v>
      </c>
      <c r="C76" s="1259" t="s">
        <v>374</v>
      </c>
      <c r="D76" s="1260"/>
      <c r="E76" s="1260"/>
      <c r="F76" s="1260"/>
      <c r="G76" s="1260"/>
      <c r="H76" s="1260"/>
      <c r="I76" s="1261">
        <f>SUM(I72:K74)</f>
        <v>16343346.599999998</v>
      </c>
      <c r="J76" s="1261"/>
      <c r="K76" s="1262"/>
      <c r="L76" s="5"/>
    </row>
    <row r="77" spans="2:12" ht="15.75" thickBot="1" x14ac:dyDescent="0.3">
      <c r="B77" s="1216" t="s">
        <v>186</v>
      </c>
      <c r="C77" s="1217"/>
      <c r="D77" s="1217"/>
      <c r="E77" s="1217"/>
      <c r="F77" s="1217"/>
      <c r="G77" s="1217"/>
      <c r="H77" s="1217"/>
      <c r="I77" s="1217"/>
      <c r="J77" s="1217"/>
      <c r="K77" s="1217"/>
      <c r="L77" s="5"/>
    </row>
    <row r="78" spans="2:12" ht="15.75" thickBot="1" x14ac:dyDescent="0.3">
      <c r="B78" s="182">
        <v>1</v>
      </c>
      <c r="C78" s="1218" t="s">
        <v>479</v>
      </c>
      <c r="D78" s="1219"/>
      <c r="E78" s="1219"/>
      <c r="F78" s="1219"/>
      <c r="G78" s="1219"/>
      <c r="H78" s="1220"/>
      <c r="I78" s="183"/>
      <c r="J78" s="184"/>
      <c r="K78" s="841">
        <f>K63</f>
        <v>14488213</v>
      </c>
      <c r="L78" s="5"/>
    </row>
    <row r="79" spans="2:12" ht="15.75" thickBot="1" x14ac:dyDescent="0.3">
      <c r="B79" s="182">
        <v>2</v>
      </c>
      <c r="C79" s="1221" t="s">
        <v>375</v>
      </c>
      <c r="D79" s="1222"/>
      <c r="E79" s="1222"/>
      <c r="F79" s="1222"/>
      <c r="G79" s="1222"/>
      <c r="H79" s="1223"/>
      <c r="I79" s="726"/>
      <c r="J79" s="458"/>
      <c r="K79" s="842">
        <f>K78*22.5%</f>
        <v>3259847.9250000003</v>
      </c>
      <c r="L79" s="5"/>
    </row>
    <row r="80" spans="2:12" ht="15.75" thickBot="1" x14ac:dyDescent="0.3">
      <c r="B80" s="182"/>
      <c r="C80" s="1254"/>
      <c r="D80" s="1255"/>
      <c r="E80" s="1255"/>
      <c r="F80" s="1255"/>
      <c r="G80" s="1255"/>
      <c r="H80" s="1256"/>
      <c r="I80" s="1257"/>
      <c r="J80" s="1258"/>
      <c r="K80" s="1258"/>
      <c r="L80" s="5"/>
    </row>
    <row r="81" spans="2:13" x14ac:dyDescent="0.25">
      <c r="B81" s="493"/>
      <c r="C81" s="1233" t="s">
        <v>369</v>
      </c>
      <c r="D81" s="1234"/>
      <c r="E81" s="1234"/>
      <c r="F81" s="1234"/>
      <c r="G81" s="1234"/>
      <c r="H81" s="1235"/>
      <c r="I81" s="1236">
        <f>K79*60%</f>
        <v>1955908.7550000001</v>
      </c>
      <c r="J81" s="1237"/>
      <c r="K81" s="1238"/>
      <c r="L81" s="5"/>
    </row>
    <row r="82" spans="2:13" x14ac:dyDescent="0.25">
      <c r="B82" s="493"/>
      <c r="C82" s="1224" t="s">
        <v>370</v>
      </c>
      <c r="D82" s="1225"/>
      <c r="E82" s="1225"/>
      <c r="F82" s="1225"/>
      <c r="G82" s="1225"/>
      <c r="H82" s="1226"/>
      <c r="I82" s="1247">
        <f>K79*30%</f>
        <v>977954.37750000006</v>
      </c>
      <c r="J82" s="1248"/>
      <c r="K82" s="1249"/>
      <c r="L82" s="5"/>
    </row>
    <row r="83" spans="2:13" x14ac:dyDescent="0.25">
      <c r="B83" s="493"/>
      <c r="C83" s="1224" t="s">
        <v>373</v>
      </c>
      <c r="D83" s="1225"/>
      <c r="E83" s="1225"/>
      <c r="F83" s="1225"/>
      <c r="G83" s="1225"/>
      <c r="H83" s="1226"/>
      <c r="I83" s="1247">
        <f>K79*10%</f>
        <v>325984.79250000004</v>
      </c>
      <c r="J83" s="1248"/>
      <c r="K83" s="1249"/>
      <c r="L83" s="5"/>
    </row>
    <row r="84" spans="2:13" x14ac:dyDescent="0.25">
      <c r="B84" s="493"/>
      <c r="C84" s="1224"/>
      <c r="D84" s="1225"/>
      <c r="E84" s="1225"/>
      <c r="F84" s="1225"/>
      <c r="G84" s="1225"/>
      <c r="H84" s="1226"/>
      <c r="I84" s="843"/>
      <c r="J84" s="844"/>
      <c r="K84" s="845"/>
      <c r="L84" s="5"/>
    </row>
    <row r="85" spans="2:13" ht="15.75" thickBot="1" x14ac:dyDescent="0.3">
      <c r="B85" s="481">
        <v>4</v>
      </c>
      <c r="C85" s="1227" t="s">
        <v>372</v>
      </c>
      <c r="D85" s="1228"/>
      <c r="E85" s="1228"/>
      <c r="F85" s="1228"/>
      <c r="G85" s="1228"/>
      <c r="H85" s="1229"/>
      <c r="I85" s="1230">
        <f>SUM(I81:K83)</f>
        <v>3259847.9250000003</v>
      </c>
      <c r="J85" s="1231"/>
      <c r="K85" s="1232"/>
      <c r="L85" s="5"/>
    </row>
    <row r="86" spans="2:13" ht="15.75" thickBot="1" x14ac:dyDescent="0.3">
      <c r="B86" s="1216" t="s">
        <v>360</v>
      </c>
      <c r="C86" s="1217"/>
      <c r="D86" s="1217"/>
      <c r="E86" s="1217"/>
      <c r="F86" s="1217"/>
      <c r="G86" s="1217"/>
      <c r="H86" s="1217"/>
      <c r="I86" s="1217"/>
      <c r="J86" s="1217"/>
      <c r="K86" s="1217"/>
      <c r="L86" s="5"/>
    </row>
    <row r="87" spans="2:13" x14ac:dyDescent="0.25">
      <c r="B87" s="182">
        <v>1</v>
      </c>
      <c r="C87" s="1221" t="s">
        <v>480</v>
      </c>
      <c r="D87" s="1222"/>
      <c r="E87" s="1222"/>
      <c r="F87" s="1222"/>
      <c r="G87" s="1222"/>
      <c r="H87" s="1223"/>
      <c r="I87" s="183"/>
      <c r="J87" s="184"/>
      <c r="K87" s="772">
        <v>200000000</v>
      </c>
      <c r="L87" s="5"/>
      <c r="M87" s="169"/>
    </row>
    <row r="88" spans="2:13" x14ac:dyDescent="0.25">
      <c r="B88" s="182">
        <v>2</v>
      </c>
      <c r="C88" s="1221" t="s">
        <v>365</v>
      </c>
      <c r="D88" s="1222"/>
      <c r="E88" s="1222"/>
      <c r="F88" s="1222"/>
      <c r="G88" s="1222"/>
      <c r="H88" s="1223"/>
      <c r="I88" s="726"/>
      <c r="J88" s="458"/>
      <c r="K88" s="727">
        <v>0</v>
      </c>
      <c r="L88" s="5"/>
      <c r="M88" s="99"/>
    </row>
    <row r="89" spans="2:13" x14ac:dyDescent="0.25">
      <c r="B89" s="182">
        <v>3</v>
      </c>
      <c r="C89" s="675" t="s">
        <v>170</v>
      </c>
      <c r="D89" s="676"/>
      <c r="E89" s="676"/>
      <c r="F89" s="676"/>
      <c r="G89" s="676"/>
      <c r="H89" s="677"/>
      <c r="I89" s="680"/>
      <c r="J89" s="681"/>
      <c r="K89" s="678">
        <f>K87-K88</f>
        <v>200000000</v>
      </c>
      <c r="L89" s="5"/>
    </row>
    <row r="90" spans="2:13" x14ac:dyDescent="0.25">
      <c r="B90" s="182">
        <v>4</v>
      </c>
      <c r="C90" s="1221" t="s">
        <v>171</v>
      </c>
      <c r="D90" s="1222"/>
      <c r="E90" s="1222"/>
      <c r="F90" s="1222"/>
      <c r="G90" s="1222"/>
      <c r="H90" s="1223"/>
      <c r="I90" s="726"/>
      <c r="J90" s="458"/>
      <c r="K90" s="458">
        <f>K89*20%</f>
        <v>40000000</v>
      </c>
      <c r="L90" s="5"/>
      <c r="M90" s="99"/>
    </row>
    <row r="91" spans="2:13" x14ac:dyDescent="0.25">
      <c r="B91" s="182">
        <v>5</v>
      </c>
      <c r="C91" s="1221" t="s">
        <v>172</v>
      </c>
      <c r="D91" s="1222"/>
      <c r="E91" s="1222"/>
      <c r="F91" s="1222"/>
      <c r="G91" s="1222"/>
      <c r="H91" s="1223"/>
      <c r="I91" s="1241">
        <f>K88*22.5%</f>
        <v>0</v>
      </c>
      <c r="J91" s="1242"/>
      <c r="K91" s="1242"/>
      <c r="L91" s="5"/>
    </row>
    <row r="92" spans="2:13" ht="15.75" thickBot="1" x14ac:dyDescent="0.3">
      <c r="B92" s="182">
        <v>6</v>
      </c>
      <c r="C92" s="1221" t="s">
        <v>481</v>
      </c>
      <c r="D92" s="1222"/>
      <c r="E92" s="1222"/>
      <c r="F92" s="1222"/>
      <c r="G92" s="1222"/>
      <c r="H92" s="1223"/>
      <c r="I92" s="1239"/>
      <c r="J92" s="1240"/>
      <c r="K92" s="1240"/>
      <c r="L92" s="5"/>
    </row>
    <row r="93" spans="2:13" x14ac:dyDescent="0.25">
      <c r="B93" s="493"/>
      <c r="C93" s="1243" t="s">
        <v>482</v>
      </c>
      <c r="D93" s="1244"/>
      <c r="E93" s="1244"/>
      <c r="F93" s="1244"/>
      <c r="G93" s="1244"/>
      <c r="H93" s="1244"/>
      <c r="I93" s="1245">
        <f>K90*60%</f>
        <v>24000000</v>
      </c>
      <c r="J93" s="1245"/>
      <c r="K93" s="1246"/>
      <c r="L93" s="5"/>
    </row>
    <row r="94" spans="2:13" x14ac:dyDescent="0.25">
      <c r="B94" s="493"/>
      <c r="C94" s="1250" t="s">
        <v>483</v>
      </c>
      <c r="D94" s="1251"/>
      <c r="E94" s="1251"/>
      <c r="F94" s="1251"/>
      <c r="G94" s="1251"/>
      <c r="H94" s="1251"/>
      <c r="I94" s="1252">
        <f>K90*30%</f>
        <v>12000000</v>
      </c>
      <c r="J94" s="1252"/>
      <c r="K94" s="1253"/>
      <c r="L94" s="5"/>
    </row>
    <row r="95" spans="2:13" x14ac:dyDescent="0.25">
      <c r="B95" s="493"/>
      <c r="C95" s="1250" t="s">
        <v>484</v>
      </c>
      <c r="D95" s="1251"/>
      <c r="E95" s="1251"/>
      <c r="F95" s="1251"/>
      <c r="G95" s="1251"/>
      <c r="H95" s="1251"/>
      <c r="I95" s="1252">
        <f>K90*10%</f>
        <v>4000000</v>
      </c>
      <c r="J95" s="1252"/>
      <c r="K95" s="1253"/>
      <c r="L95" s="5"/>
    </row>
    <row r="96" spans="2:13" x14ac:dyDescent="0.25">
      <c r="B96" s="493"/>
      <c r="C96" s="1250" t="s">
        <v>342</v>
      </c>
      <c r="D96" s="1251"/>
      <c r="E96" s="1251"/>
      <c r="F96" s="1251"/>
      <c r="G96" s="1251"/>
      <c r="H96" s="1251"/>
      <c r="I96" s="728">
        <f>SUM(I93:I95)</f>
        <v>40000000</v>
      </c>
      <c r="J96" s="728"/>
      <c r="K96" s="729">
        <f>SUM(I96)</f>
        <v>40000000</v>
      </c>
      <c r="L96" s="5"/>
    </row>
    <row r="97" spans="2:12" ht="15.75" thickBot="1" x14ac:dyDescent="0.3">
      <c r="B97" s="481">
        <v>6</v>
      </c>
      <c r="C97" s="1259" t="s">
        <v>460</v>
      </c>
      <c r="D97" s="1260"/>
      <c r="E97" s="1260"/>
      <c r="F97" s="1260"/>
      <c r="G97" s="1260"/>
      <c r="H97" s="1260"/>
      <c r="I97" s="1261">
        <f>K90+I91</f>
        <v>40000000</v>
      </c>
      <c r="J97" s="1261"/>
      <c r="K97" s="1262"/>
      <c r="L97" s="5"/>
    </row>
    <row r="98" spans="2:12" x14ac:dyDescent="0.25">
      <c r="B98" s="84"/>
      <c r="C98" s="679"/>
      <c r="D98" s="679"/>
      <c r="E98" s="679"/>
      <c r="F98" s="679"/>
      <c r="G98" s="679"/>
      <c r="H98" s="679"/>
      <c r="I98" s="725"/>
      <c r="J98" s="725"/>
      <c r="K98" s="725"/>
      <c r="L98" s="5"/>
    </row>
    <row r="99" spans="2:12" x14ac:dyDescent="0.25">
      <c r="B99" s="84"/>
      <c r="C99" s="679"/>
      <c r="D99" s="679"/>
      <c r="E99" s="679"/>
      <c r="F99" s="679"/>
      <c r="G99" s="679"/>
      <c r="H99" s="679"/>
      <c r="I99" s="725"/>
      <c r="J99" s="725"/>
      <c r="K99" s="725"/>
      <c r="L99" s="5"/>
    </row>
    <row r="100" spans="2:12" x14ac:dyDescent="0.25">
      <c r="B100" s="84"/>
      <c r="C100" s="679"/>
      <c r="D100" s="679"/>
      <c r="E100" s="679"/>
      <c r="F100" s="679"/>
      <c r="G100" s="679"/>
      <c r="H100" s="679"/>
      <c r="I100" s="725"/>
      <c r="J100" s="725"/>
      <c r="K100" s="725"/>
      <c r="L100" s="5"/>
    </row>
    <row r="101" spans="2:12" x14ac:dyDescent="0.25">
      <c r="B101" s="84"/>
      <c r="C101" s="679"/>
      <c r="D101" s="679"/>
      <c r="E101" s="679"/>
      <c r="F101" s="679"/>
      <c r="G101" s="679"/>
      <c r="H101" s="679"/>
      <c r="I101" s="725"/>
      <c r="J101" s="725"/>
      <c r="K101" s="725"/>
      <c r="L101" s="5"/>
    </row>
    <row r="102" spans="2:12" x14ac:dyDescent="0.25">
      <c r="B102" s="84"/>
      <c r="C102" s="679"/>
      <c r="D102" s="679"/>
      <c r="E102" s="679"/>
      <c r="F102" s="679"/>
      <c r="G102" s="679"/>
      <c r="H102" s="679"/>
      <c r="I102" s="725"/>
      <c r="J102" s="725"/>
      <c r="K102" s="725"/>
      <c r="L102" s="5"/>
    </row>
    <row r="103" spans="2:12" x14ac:dyDescent="0.25">
      <c r="C103" s="82"/>
      <c r="D103" s="82"/>
      <c r="E103" s="82"/>
      <c r="F103" s="82"/>
      <c r="G103" s="82"/>
      <c r="H103" s="82"/>
      <c r="I103" s="83"/>
      <c r="J103" s="83"/>
      <c r="K103" s="5"/>
      <c r="L103" s="5"/>
    </row>
  </sheetData>
  <mergeCells count="99">
    <mergeCell ref="I93:K93"/>
    <mergeCell ref="C97:H97"/>
    <mergeCell ref="I97:K97"/>
    <mergeCell ref="C94:H94"/>
    <mergeCell ref="I94:K94"/>
    <mergeCell ref="C95:H95"/>
    <mergeCell ref="I95:K95"/>
    <mergeCell ref="C96:H96"/>
    <mergeCell ref="C93:H93"/>
    <mergeCell ref="C10:H10"/>
    <mergeCell ref="I10:K10"/>
    <mergeCell ref="C39:H39"/>
    <mergeCell ref="C40:H40"/>
    <mergeCell ref="C20:H20"/>
    <mergeCell ref="I20:K20"/>
    <mergeCell ref="C30:H30"/>
    <mergeCell ref="C31:H31"/>
    <mergeCell ref="C33:H33"/>
    <mergeCell ref="C26:H26"/>
    <mergeCell ref="C29:H29"/>
    <mergeCell ref="C21:H21"/>
    <mergeCell ref="I21:K21"/>
    <mergeCell ref="C22:H22"/>
    <mergeCell ref="C23:H23"/>
    <mergeCell ref="C12:H12"/>
    <mergeCell ref="C4:K4"/>
    <mergeCell ref="B5:K5"/>
    <mergeCell ref="B6:H6"/>
    <mergeCell ref="C8:H8"/>
    <mergeCell ref="C9:H9"/>
    <mergeCell ref="C43:H43"/>
    <mergeCell ref="C38:H38"/>
    <mergeCell ref="C60:H60"/>
    <mergeCell ref="C44:H44"/>
    <mergeCell ref="C45:H45"/>
    <mergeCell ref="C48:H48"/>
    <mergeCell ref="C49:H49"/>
    <mergeCell ref="C50:H50"/>
    <mergeCell ref="C53:H53"/>
    <mergeCell ref="C54:H54"/>
    <mergeCell ref="C55:H55"/>
    <mergeCell ref="C58:H58"/>
    <mergeCell ref="C59:H59"/>
    <mergeCell ref="C18:H18"/>
    <mergeCell ref="C19:H19"/>
    <mergeCell ref="I19:K19"/>
    <mergeCell ref="C34:H34"/>
    <mergeCell ref="C35:H35"/>
    <mergeCell ref="C25:H25"/>
    <mergeCell ref="I12:K12"/>
    <mergeCell ref="C13:H13"/>
    <mergeCell ref="I13:K13"/>
    <mergeCell ref="C14:H14"/>
    <mergeCell ref="I14:K14"/>
    <mergeCell ref="C15:H15"/>
    <mergeCell ref="I15:K15"/>
    <mergeCell ref="C16:H16"/>
    <mergeCell ref="I16:K16"/>
    <mergeCell ref="C17:H17"/>
    <mergeCell ref="I17:K17"/>
    <mergeCell ref="B68:K68"/>
    <mergeCell ref="C69:H69"/>
    <mergeCell ref="C70:H70"/>
    <mergeCell ref="C63:H63"/>
    <mergeCell ref="C64:H64"/>
    <mergeCell ref="C65:H65"/>
    <mergeCell ref="C67:H67"/>
    <mergeCell ref="I67:K67"/>
    <mergeCell ref="B86:K86"/>
    <mergeCell ref="C72:H72"/>
    <mergeCell ref="I72:K72"/>
    <mergeCell ref="C82:H82"/>
    <mergeCell ref="I82:K82"/>
    <mergeCell ref="C83:H83"/>
    <mergeCell ref="I83:K83"/>
    <mergeCell ref="C73:H73"/>
    <mergeCell ref="I73:K73"/>
    <mergeCell ref="C74:H74"/>
    <mergeCell ref="I74:K74"/>
    <mergeCell ref="C75:H75"/>
    <mergeCell ref="C80:H80"/>
    <mergeCell ref="I80:K80"/>
    <mergeCell ref="C76:H76"/>
    <mergeCell ref="I76:K76"/>
    <mergeCell ref="C87:H87"/>
    <mergeCell ref="C88:H88"/>
    <mergeCell ref="C90:H90"/>
    <mergeCell ref="C92:H92"/>
    <mergeCell ref="I92:K92"/>
    <mergeCell ref="C91:H91"/>
    <mergeCell ref="I91:K91"/>
    <mergeCell ref="B77:K77"/>
    <mergeCell ref="C78:H78"/>
    <mergeCell ref="C79:H79"/>
    <mergeCell ref="C84:H84"/>
    <mergeCell ref="C85:H85"/>
    <mergeCell ref="I85:K85"/>
    <mergeCell ref="C81:H81"/>
    <mergeCell ref="I81:K81"/>
  </mergeCells>
  <pageMargins left="0" right="0.11811023622047245" top="0.41" bottom="0.74803149606299213" header="0.31496062992125984" footer="0.31496062992125984"/>
  <pageSetup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00B050"/>
    <pageSetUpPr fitToPage="1"/>
  </sheetPr>
  <dimension ref="A1:R183"/>
  <sheetViews>
    <sheetView workbookViewId="0">
      <selection sqref="A1:M1"/>
    </sheetView>
  </sheetViews>
  <sheetFormatPr baseColWidth="10" defaultRowHeight="12.75" x14ac:dyDescent="0.2"/>
  <cols>
    <col min="1" max="1" width="18" style="500" customWidth="1"/>
    <col min="2" max="2" width="15.28515625" style="618" bestFit="1" customWidth="1"/>
    <col min="3" max="3" width="18.42578125" style="618" bestFit="1" customWidth="1"/>
    <col min="4" max="4" width="13.7109375" style="618" bestFit="1" customWidth="1"/>
    <col min="5" max="10" width="15.28515625" style="618" bestFit="1" customWidth="1"/>
    <col min="11" max="12" width="13.7109375" style="618" bestFit="1" customWidth="1"/>
    <col min="13" max="13" width="14.28515625" style="618" customWidth="1"/>
    <col min="14" max="14" width="15.28515625" style="500" bestFit="1" customWidth="1"/>
    <col min="15" max="15" width="16.42578125" style="500" bestFit="1" customWidth="1"/>
    <col min="16" max="16" width="17.85546875" style="500" bestFit="1" customWidth="1"/>
    <col min="17" max="17" width="11.42578125" style="500"/>
    <col min="18" max="18" width="15.28515625" style="500" bestFit="1" customWidth="1"/>
    <col min="19" max="256" width="11.42578125" style="500"/>
    <col min="257" max="257" width="18" style="500" customWidth="1"/>
    <col min="258" max="258" width="13.7109375" style="500" bestFit="1" customWidth="1"/>
    <col min="259" max="259" width="18.42578125" style="500" bestFit="1" customWidth="1"/>
    <col min="260" max="269" width="13.7109375" style="500" bestFit="1" customWidth="1"/>
    <col min="270" max="270" width="15.28515625" style="500" bestFit="1" customWidth="1"/>
    <col min="271" max="271" width="11.42578125" style="500"/>
    <col min="272" max="272" width="13.7109375" style="500" bestFit="1" customWidth="1"/>
    <col min="273" max="512" width="11.42578125" style="500"/>
    <col min="513" max="513" width="18" style="500" customWidth="1"/>
    <col min="514" max="514" width="13.7109375" style="500" bestFit="1" customWidth="1"/>
    <col min="515" max="515" width="18.42578125" style="500" bestFit="1" customWidth="1"/>
    <col min="516" max="525" width="13.7109375" style="500" bestFit="1" customWidth="1"/>
    <col min="526" max="526" width="15.28515625" style="500" bestFit="1" customWidth="1"/>
    <col min="527" max="527" width="11.42578125" style="500"/>
    <col min="528" max="528" width="13.7109375" style="500" bestFit="1" customWidth="1"/>
    <col min="529" max="768" width="11.42578125" style="500"/>
    <col min="769" max="769" width="18" style="500" customWidth="1"/>
    <col min="770" max="770" width="13.7109375" style="500" bestFit="1" customWidth="1"/>
    <col min="771" max="771" width="18.42578125" style="500" bestFit="1" customWidth="1"/>
    <col min="772" max="781" width="13.7109375" style="500" bestFit="1" customWidth="1"/>
    <col min="782" max="782" width="15.28515625" style="500" bestFit="1" customWidth="1"/>
    <col min="783" max="783" width="11.42578125" style="500"/>
    <col min="784" max="784" width="13.7109375" style="500" bestFit="1" customWidth="1"/>
    <col min="785" max="1024" width="11.42578125" style="500"/>
    <col min="1025" max="1025" width="18" style="500" customWidth="1"/>
    <col min="1026" max="1026" width="13.7109375" style="500" bestFit="1" customWidth="1"/>
    <col min="1027" max="1027" width="18.42578125" style="500" bestFit="1" customWidth="1"/>
    <col min="1028" max="1037" width="13.7109375" style="500" bestFit="1" customWidth="1"/>
    <col min="1038" max="1038" width="15.28515625" style="500" bestFit="1" customWidth="1"/>
    <col min="1039" max="1039" width="11.42578125" style="500"/>
    <col min="1040" max="1040" width="13.7109375" style="500" bestFit="1" customWidth="1"/>
    <col min="1041" max="1280" width="11.42578125" style="500"/>
    <col min="1281" max="1281" width="18" style="500" customWidth="1"/>
    <col min="1282" max="1282" width="13.7109375" style="500" bestFit="1" customWidth="1"/>
    <col min="1283" max="1283" width="18.42578125" style="500" bestFit="1" customWidth="1"/>
    <col min="1284" max="1293" width="13.7109375" style="500" bestFit="1" customWidth="1"/>
    <col min="1294" max="1294" width="15.28515625" style="500" bestFit="1" customWidth="1"/>
    <col min="1295" max="1295" width="11.42578125" style="500"/>
    <col min="1296" max="1296" width="13.7109375" style="500" bestFit="1" customWidth="1"/>
    <col min="1297" max="1536" width="11.42578125" style="500"/>
    <col min="1537" max="1537" width="18" style="500" customWidth="1"/>
    <col min="1538" max="1538" width="13.7109375" style="500" bestFit="1" customWidth="1"/>
    <col min="1539" max="1539" width="18.42578125" style="500" bestFit="1" customWidth="1"/>
    <col min="1540" max="1549" width="13.7109375" style="500" bestFit="1" customWidth="1"/>
    <col min="1550" max="1550" width="15.28515625" style="500" bestFit="1" customWidth="1"/>
    <col min="1551" max="1551" width="11.42578125" style="500"/>
    <col min="1552" max="1552" width="13.7109375" style="500" bestFit="1" customWidth="1"/>
    <col min="1553" max="1792" width="11.42578125" style="500"/>
    <col min="1793" max="1793" width="18" style="500" customWidth="1"/>
    <col min="1794" max="1794" width="13.7109375" style="500" bestFit="1" customWidth="1"/>
    <col min="1795" max="1795" width="18.42578125" style="500" bestFit="1" customWidth="1"/>
    <col min="1796" max="1805" width="13.7109375" style="500" bestFit="1" customWidth="1"/>
    <col min="1806" max="1806" width="15.28515625" style="500" bestFit="1" customWidth="1"/>
    <col min="1807" max="1807" width="11.42578125" style="500"/>
    <col min="1808" max="1808" width="13.7109375" style="500" bestFit="1" customWidth="1"/>
    <col min="1809" max="2048" width="11.42578125" style="500"/>
    <col min="2049" max="2049" width="18" style="500" customWidth="1"/>
    <col min="2050" max="2050" width="13.7109375" style="500" bestFit="1" customWidth="1"/>
    <col min="2051" max="2051" width="18.42578125" style="500" bestFit="1" customWidth="1"/>
    <col min="2052" max="2061" width="13.7109375" style="500" bestFit="1" customWidth="1"/>
    <col min="2062" max="2062" width="15.28515625" style="500" bestFit="1" customWidth="1"/>
    <col min="2063" max="2063" width="11.42578125" style="500"/>
    <col min="2064" max="2064" width="13.7109375" style="500" bestFit="1" customWidth="1"/>
    <col min="2065" max="2304" width="11.42578125" style="500"/>
    <col min="2305" max="2305" width="18" style="500" customWidth="1"/>
    <col min="2306" max="2306" width="13.7109375" style="500" bestFit="1" customWidth="1"/>
    <col min="2307" max="2307" width="18.42578125" style="500" bestFit="1" customWidth="1"/>
    <col min="2308" max="2317" width="13.7109375" style="500" bestFit="1" customWidth="1"/>
    <col min="2318" max="2318" width="15.28515625" style="500" bestFit="1" customWidth="1"/>
    <col min="2319" max="2319" width="11.42578125" style="500"/>
    <col min="2320" max="2320" width="13.7109375" style="500" bestFit="1" customWidth="1"/>
    <col min="2321" max="2560" width="11.42578125" style="500"/>
    <col min="2561" max="2561" width="18" style="500" customWidth="1"/>
    <col min="2562" max="2562" width="13.7109375" style="500" bestFit="1" customWidth="1"/>
    <col min="2563" max="2563" width="18.42578125" style="500" bestFit="1" customWidth="1"/>
    <col min="2564" max="2573" width="13.7109375" style="500" bestFit="1" customWidth="1"/>
    <col min="2574" max="2574" width="15.28515625" style="500" bestFit="1" customWidth="1"/>
    <col min="2575" max="2575" width="11.42578125" style="500"/>
    <col min="2576" max="2576" width="13.7109375" style="500" bestFit="1" customWidth="1"/>
    <col min="2577" max="2816" width="11.42578125" style="500"/>
    <col min="2817" max="2817" width="18" style="500" customWidth="1"/>
    <col min="2818" max="2818" width="13.7109375" style="500" bestFit="1" customWidth="1"/>
    <col min="2819" max="2819" width="18.42578125" style="500" bestFit="1" customWidth="1"/>
    <col min="2820" max="2829" width="13.7109375" style="500" bestFit="1" customWidth="1"/>
    <col min="2830" max="2830" width="15.28515625" style="500" bestFit="1" customWidth="1"/>
    <col min="2831" max="2831" width="11.42578125" style="500"/>
    <col min="2832" max="2832" width="13.7109375" style="500" bestFit="1" customWidth="1"/>
    <col min="2833" max="3072" width="11.42578125" style="500"/>
    <col min="3073" max="3073" width="18" style="500" customWidth="1"/>
    <col min="3074" max="3074" width="13.7109375" style="500" bestFit="1" customWidth="1"/>
    <col min="3075" max="3075" width="18.42578125" style="500" bestFit="1" customWidth="1"/>
    <col min="3076" max="3085" width="13.7109375" style="500" bestFit="1" customWidth="1"/>
    <col min="3086" max="3086" width="15.28515625" style="500" bestFit="1" customWidth="1"/>
    <col min="3087" max="3087" width="11.42578125" style="500"/>
    <col min="3088" max="3088" width="13.7109375" style="500" bestFit="1" customWidth="1"/>
    <col min="3089" max="3328" width="11.42578125" style="500"/>
    <col min="3329" max="3329" width="18" style="500" customWidth="1"/>
    <col min="3330" max="3330" width="13.7109375" style="500" bestFit="1" customWidth="1"/>
    <col min="3331" max="3331" width="18.42578125" style="500" bestFit="1" customWidth="1"/>
    <col min="3332" max="3341" width="13.7109375" style="500" bestFit="1" customWidth="1"/>
    <col min="3342" max="3342" width="15.28515625" style="500" bestFit="1" customWidth="1"/>
    <col min="3343" max="3343" width="11.42578125" style="500"/>
    <col min="3344" max="3344" width="13.7109375" style="500" bestFit="1" customWidth="1"/>
    <col min="3345" max="3584" width="11.42578125" style="500"/>
    <col min="3585" max="3585" width="18" style="500" customWidth="1"/>
    <col min="3586" max="3586" width="13.7109375" style="500" bestFit="1" customWidth="1"/>
    <col min="3587" max="3587" width="18.42578125" style="500" bestFit="1" customWidth="1"/>
    <col min="3588" max="3597" width="13.7109375" style="500" bestFit="1" customWidth="1"/>
    <col min="3598" max="3598" width="15.28515625" style="500" bestFit="1" customWidth="1"/>
    <col min="3599" max="3599" width="11.42578125" style="500"/>
    <col min="3600" max="3600" width="13.7109375" style="500" bestFit="1" customWidth="1"/>
    <col min="3601" max="3840" width="11.42578125" style="500"/>
    <col min="3841" max="3841" width="18" style="500" customWidth="1"/>
    <col min="3842" max="3842" width="13.7109375" style="500" bestFit="1" customWidth="1"/>
    <col min="3843" max="3843" width="18.42578125" style="500" bestFit="1" customWidth="1"/>
    <col min="3844" max="3853" width="13.7109375" style="500" bestFit="1" customWidth="1"/>
    <col min="3854" max="3854" width="15.28515625" style="500" bestFit="1" customWidth="1"/>
    <col min="3855" max="3855" width="11.42578125" style="500"/>
    <col min="3856" max="3856" width="13.7109375" style="500" bestFit="1" customWidth="1"/>
    <col min="3857" max="4096" width="11.42578125" style="500"/>
    <col min="4097" max="4097" width="18" style="500" customWidth="1"/>
    <col min="4098" max="4098" width="13.7109375" style="500" bestFit="1" customWidth="1"/>
    <col min="4099" max="4099" width="18.42578125" style="500" bestFit="1" customWidth="1"/>
    <col min="4100" max="4109" width="13.7109375" style="500" bestFit="1" customWidth="1"/>
    <col min="4110" max="4110" width="15.28515625" style="500" bestFit="1" customWidth="1"/>
    <col min="4111" max="4111" width="11.42578125" style="500"/>
    <col min="4112" max="4112" width="13.7109375" style="500" bestFit="1" customWidth="1"/>
    <col min="4113" max="4352" width="11.42578125" style="500"/>
    <col min="4353" max="4353" width="18" style="500" customWidth="1"/>
    <col min="4354" max="4354" width="13.7109375" style="500" bestFit="1" customWidth="1"/>
    <col min="4355" max="4355" width="18.42578125" style="500" bestFit="1" customWidth="1"/>
    <col min="4356" max="4365" width="13.7109375" style="500" bestFit="1" customWidth="1"/>
    <col min="4366" max="4366" width="15.28515625" style="500" bestFit="1" customWidth="1"/>
    <col min="4367" max="4367" width="11.42578125" style="500"/>
    <col min="4368" max="4368" width="13.7109375" style="500" bestFit="1" customWidth="1"/>
    <col min="4369" max="4608" width="11.42578125" style="500"/>
    <col min="4609" max="4609" width="18" style="500" customWidth="1"/>
    <col min="4610" max="4610" width="13.7109375" style="500" bestFit="1" customWidth="1"/>
    <col min="4611" max="4611" width="18.42578125" style="500" bestFit="1" customWidth="1"/>
    <col min="4612" max="4621" width="13.7109375" style="500" bestFit="1" customWidth="1"/>
    <col min="4622" max="4622" width="15.28515625" style="500" bestFit="1" customWidth="1"/>
    <col min="4623" max="4623" width="11.42578125" style="500"/>
    <col min="4624" max="4624" width="13.7109375" style="500" bestFit="1" customWidth="1"/>
    <col min="4625" max="4864" width="11.42578125" style="500"/>
    <col min="4865" max="4865" width="18" style="500" customWidth="1"/>
    <col min="4866" max="4866" width="13.7109375" style="500" bestFit="1" customWidth="1"/>
    <col min="4867" max="4867" width="18.42578125" style="500" bestFit="1" customWidth="1"/>
    <col min="4868" max="4877" width="13.7109375" style="500" bestFit="1" customWidth="1"/>
    <col min="4878" max="4878" width="15.28515625" style="500" bestFit="1" customWidth="1"/>
    <col min="4879" max="4879" width="11.42578125" style="500"/>
    <col min="4880" max="4880" width="13.7109375" style="500" bestFit="1" customWidth="1"/>
    <col min="4881" max="5120" width="11.42578125" style="500"/>
    <col min="5121" max="5121" width="18" style="500" customWidth="1"/>
    <col min="5122" max="5122" width="13.7109375" style="500" bestFit="1" customWidth="1"/>
    <col min="5123" max="5123" width="18.42578125" style="500" bestFit="1" customWidth="1"/>
    <col min="5124" max="5133" width="13.7109375" style="500" bestFit="1" customWidth="1"/>
    <col min="5134" max="5134" width="15.28515625" style="500" bestFit="1" customWidth="1"/>
    <col min="5135" max="5135" width="11.42578125" style="500"/>
    <col min="5136" max="5136" width="13.7109375" style="500" bestFit="1" customWidth="1"/>
    <col min="5137" max="5376" width="11.42578125" style="500"/>
    <col min="5377" max="5377" width="18" style="500" customWidth="1"/>
    <col min="5378" max="5378" width="13.7109375" style="500" bestFit="1" customWidth="1"/>
    <col min="5379" max="5379" width="18.42578125" style="500" bestFit="1" customWidth="1"/>
    <col min="5380" max="5389" width="13.7109375" style="500" bestFit="1" customWidth="1"/>
    <col min="5390" max="5390" width="15.28515625" style="500" bestFit="1" customWidth="1"/>
    <col min="5391" max="5391" width="11.42578125" style="500"/>
    <col min="5392" max="5392" width="13.7109375" style="500" bestFit="1" customWidth="1"/>
    <col min="5393" max="5632" width="11.42578125" style="500"/>
    <col min="5633" max="5633" width="18" style="500" customWidth="1"/>
    <col min="5634" max="5634" width="13.7109375" style="500" bestFit="1" customWidth="1"/>
    <col min="5635" max="5635" width="18.42578125" style="500" bestFit="1" customWidth="1"/>
    <col min="5636" max="5645" width="13.7109375" style="500" bestFit="1" customWidth="1"/>
    <col min="5646" max="5646" width="15.28515625" style="500" bestFit="1" customWidth="1"/>
    <col min="5647" max="5647" width="11.42578125" style="500"/>
    <col min="5648" max="5648" width="13.7109375" style="500" bestFit="1" customWidth="1"/>
    <col min="5649" max="5888" width="11.42578125" style="500"/>
    <col min="5889" max="5889" width="18" style="500" customWidth="1"/>
    <col min="5890" max="5890" width="13.7109375" style="500" bestFit="1" customWidth="1"/>
    <col min="5891" max="5891" width="18.42578125" style="500" bestFit="1" customWidth="1"/>
    <col min="5892" max="5901" width="13.7109375" style="500" bestFit="1" customWidth="1"/>
    <col min="5902" max="5902" width="15.28515625" style="500" bestFit="1" customWidth="1"/>
    <col min="5903" max="5903" width="11.42578125" style="500"/>
    <col min="5904" max="5904" width="13.7109375" style="500" bestFit="1" customWidth="1"/>
    <col min="5905" max="6144" width="11.42578125" style="500"/>
    <col min="6145" max="6145" width="18" style="500" customWidth="1"/>
    <col min="6146" max="6146" width="13.7109375" style="500" bestFit="1" customWidth="1"/>
    <col min="6147" max="6147" width="18.42578125" style="500" bestFit="1" customWidth="1"/>
    <col min="6148" max="6157" width="13.7109375" style="500" bestFit="1" customWidth="1"/>
    <col min="6158" max="6158" width="15.28515625" style="500" bestFit="1" customWidth="1"/>
    <col min="6159" max="6159" width="11.42578125" style="500"/>
    <col min="6160" max="6160" width="13.7109375" style="500" bestFit="1" customWidth="1"/>
    <col min="6161" max="6400" width="11.42578125" style="500"/>
    <col min="6401" max="6401" width="18" style="500" customWidth="1"/>
    <col min="6402" max="6402" width="13.7109375" style="500" bestFit="1" customWidth="1"/>
    <col min="6403" max="6403" width="18.42578125" style="500" bestFit="1" customWidth="1"/>
    <col min="6404" max="6413" width="13.7109375" style="500" bestFit="1" customWidth="1"/>
    <col min="6414" max="6414" width="15.28515625" style="500" bestFit="1" customWidth="1"/>
    <col min="6415" max="6415" width="11.42578125" style="500"/>
    <col min="6416" max="6416" width="13.7109375" style="500" bestFit="1" customWidth="1"/>
    <col min="6417" max="6656" width="11.42578125" style="500"/>
    <col min="6657" max="6657" width="18" style="500" customWidth="1"/>
    <col min="6658" max="6658" width="13.7109375" style="500" bestFit="1" customWidth="1"/>
    <col min="6659" max="6659" width="18.42578125" style="500" bestFit="1" customWidth="1"/>
    <col min="6660" max="6669" width="13.7109375" style="500" bestFit="1" customWidth="1"/>
    <col min="6670" max="6670" width="15.28515625" style="500" bestFit="1" customWidth="1"/>
    <col min="6671" max="6671" width="11.42578125" style="500"/>
    <col min="6672" max="6672" width="13.7109375" style="500" bestFit="1" customWidth="1"/>
    <col min="6673" max="6912" width="11.42578125" style="500"/>
    <col min="6913" max="6913" width="18" style="500" customWidth="1"/>
    <col min="6914" max="6914" width="13.7109375" style="500" bestFit="1" customWidth="1"/>
    <col min="6915" max="6915" width="18.42578125" style="500" bestFit="1" customWidth="1"/>
    <col min="6916" max="6925" width="13.7109375" style="500" bestFit="1" customWidth="1"/>
    <col min="6926" max="6926" width="15.28515625" style="500" bestFit="1" customWidth="1"/>
    <col min="6927" max="6927" width="11.42578125" style="500"/>
    <col min="6928" max="6928" width="13.7109375" style="500" bestFit="1" customWidth="1"/>
    <col min="6929" max="7168" width="11.42578125" style="500"/>
    <col min="7169" max="7169" width="18" style="500" customWidth="1"/>
    <col min="7170" max="7170" width="13.7109375" style="500" bestFit="1" customWidth="1"/>
    <col min="7171" max="7171" width="18.42578125" style="500" bestFit="1" customWidth="1"/>
    <col min="7172" max="7181" width="13.7109375" style="500" bestFit="1" customWidth="1"/>
    <col min="7182" max="7182" width="15.28515625" style="500" bestFit="1" customWidth="1"/>
    <col min="7183" max="7183" width="11.42578125" style="500"/>
    <col min="7184" max="7184" width="13.7109375" style="500" bestFit="1" customWidth="1"/>
    <col min="7185" max="7424" width="11.42578125" style="500"/>
    <col min="7425" max="7425" width="18" style="500" customWidth="1"/>
    <col min="7426" max="7426" width="13.7109375" style="500" bestFit="1" customWidth="1"/>
    <col min="7427" max="7427" width="18.42578125" style="500" bestFit="1" customWidth="1"/>
    <col min="7428" max="7437" width="13.7109375" style="500" bestFit="1" customWidth="1"/>
    <col min="7438" max="7438" width="15.28515625" style="500" bestFit="1" customWidth="1"/>
    <col min="7439" max="7439" width="11.42578125" style="500"/>
    <col min="7440" max="7440" width="13.7109375" style="500" bestFit="1" customWidth="1"/>
    <col min="7441" max="7680" width="11.42578125" style="500"/>
    <col min="7681" max="7681" width="18" style="500" customWidth="1"/>
    <col min="7682" max="7682" width="13.7109375" style="500" bestFit="1" customWidth="1"/>
    <col min="7683" max="7683" width="18.42578125" style="500" bestFit="1" customWidth="1"/>
    <col min="7684" max="7693" width="13.7109375" style="500" bestFit="1" customWidth="1"/>
    <col min="7694" max="7694" width="15.28515625" style="500" bestFit="1" customWidth="1"/>
    <col min="7695" max="7695" width="11.42578125" style="500"/>
    <col min="7696" max="7696" width="13.7109375" style="500" bestFit="1" customWidth="1"/>
    <col min="7697" max="7936" width="11.42578125" style="500"/>
    <col min="7937" max="7937" width="18" style="500" customWidth="1"/>
    <col min="7938" max="7938" width="13.7109375" style="500" bestFit="1" customWidth="1"/>
    <col min="7939" max="7939" width="18.42578125" style="500" bestFit="1" customWidth="1"/>
    <col min="7940" max="7949" width="13.7109375" style="500" bestFit="1" customWidth="1"/>
    <col min="7950" max="7950" width="15.28515625" style="500" bestFit="1" customWidth="1"/>
    <col min="7951" max="7951" width="11.42578125" style="500"/>
    <col min="7952" max="7952" width="13.7109375" style="500" bestFit="1" customWidth="1"/>
    <col min="7953" max="8192" width="11.42578125" style="500"/>
    <col min="8193" max="8193" width="18" style="500" customWidth="1"/>
    <col min="8194" max="8194" width="13.7109375" style="500" bestFit="1" customWidth="1"/>
    <col min="8195" max="8195" width="18.42578125" style="500" bestFit="1" customWidth="1"/>
    <col min="8196" max="8205" width="13.7109375" style="500" bestFit="1" customWidth="1"/>
    <col min="8206" max="8206" width="15.28515625" style="500" bestFit="1" customWidth="1"/>
    <col min="8207" max="8207" width="11.42578125" style="500"/>
    <col min="8208" max="8208" width="13.7109375" style="500" bestFit="1" customWidth="1"/>
    <col min="8209" max="8448" width="11.42578125" style="500"/>
    <col min="8449" max="8449" width="18" style="500" customWidth="1"/>
    <col min="8450" max="8450" width="13.7109375" style="500" bestFit="1" customWidth="1"/>
    <col min="8451" max="8451" width="18.42578125" style="500" bestFit="1" customWidth="1"/>
    <col min="8452" max="8461" width="13.7109375" style="500" bestFit="1" customWidth="1"/>
    <col min="8462" max="8462" width="15.28515625" style="500" bestFit="1" customWidth="1"/>
    <col min="8463" max="8463" width="11.42578125" style="500"/>
    <col min="8464" max="8464" width="13.7109375" style="500" bestFit="1" customWidth="1"/>
    <col min="8465" max="8704" width="11.42578125" style="500"/>
    <col min="8705" max="8705" width="18" style="500" customWidth="1"/>
    <col min="8706" max="8706" width="13.7109375" style="500" bestFit="1" customWidth="1"/>
    <col min="8707" max="8707" width="18.42578125" style="500" bestFit="1" customWidth="1"/>
    <col min="8708" max="8717" width="13.7109375" style="500" bestFit="1" customWidth="1"/>
    <col min="8718" max="8718" width="15.28515625" style="500" bestFit="1" customWidth="1"/>
    <col min="8719" max="8719" width="11.42578125" style="500"/>
    <col min="8720" max="8720" width="13.7109375" style="500" bestFit="1" customWidth="1"/>
    <col min="8721" max="8960" width="11.42578125" style="500"/>
    <col min="8961" max="8961" width="18" style="500" customWidth="1"/>
    <col min="8962" max="8962" width="13.7109375" style="500" bestFit="1" customWidth="1"/>
    <col min="8963" max="8963" width="18.42578125" style="500" bestFit="1" customWidth="1"/>
    <col min="8964" max="8973" width="13.7109375" style="500" bestFit="1" customWidth="1"/>
    <col min="8974" max="8974" width="15.28515625" style="500" bestFit="1" customWidth="1"/>
    <col min="8975" max="8975" width="11.42578125" style="500"/>
    <col min="8976" max="8976" width="13.7109375" style="500" bestFit="1" customWidth="1"/>
    <col min="8977" max="9216" width="11.42578125" style="500"/>
    <col min="9217" max="9217" width="18" style="500" customWidth="1"/>
    <col min="9218" max="9218" width="13.7109375" style="500" bestFit="1" customWidth="1"/>
    <col min="9219" max="9219" width="18.42578125" style="500" bestFit="1" customWidth="1"/>
    <col min="9220" max="9229" width="13.7109375" style="500" bestFit="1" customWidth="1"/>
    <col min="9230" max="9230" width="15.28515625" style="500" bestFit="1" customWidth="1"/>
    <col min="9231" max="9231" width="11.42578125" style="500"/>
    <col min="9232" max="9232" width="13.7109375" style="500" bestFit="1" customWidth="1"/>
    <col min="9233" max="9472" width="11.42578125" style="500"/>
    <col min="9473" max="9473" width="18" style="500" customWidth="1"/>
    <col min="9474" max="9474" width="13.7109375" style="500" bestFit="1" customWidth="1"/>
    <col min="9475" max="9475" width="18.42578125" style="500" bestFit="1" customWidth="1"/>
    <col min="9476" max="9485" width="13.7109375" style="500" bestFit="1" customWidth="1"/>
    <col min="9486" max="9486" width="15.28515625" style="500" bestFit="1" customWidth="1"/>
    <col min="9487" max="9487" width="11.42578125" style="500"/>
    <col min="9488" max="9488" width="13.7109375" style="500" bestFit="1" customWidth="1"/>
    <col min="9489" max="9728" width="11.42578125" style="500"/>
    <col min="9729" max="9729" width="18" style="500" customWidth="1"/>
    <col min="9730" max="9730" width="13.7109375" style="500" bestFit="1" customWidth="1"/>
    <col min="9731" max="9731" width="18.42578125" style="500" bestFit="1" customWidth="1"/>
    <col min="9732" max="9741" width="13.7109375" style="500" bestFit="1" customWidth="1"/>
    <col min="9742" max="9742" width="15.28515625" style="500" bestFit="1" customWidth="1"/>
    <col min="9743" max="9743" width="11.42578125" style="500"/>
    <col min="9744" max="9744" width="13.7109375" style="500" bestFit="1" customWidth="1"/>
    <col min="9745" max="9984" width="11.42578125" style="500"/>
    <col min="9985" max="9985" width="18" style="500" customWidth="1"/>
    <col min="9986" max="9986" width="13.7109375" style="500" bestFit="1" customWidth="1"/>
    <col min="9987" max="9987" width="18.42578125" style="500" bestFit="1" customWidth="1"/>
    <col min="9988" max="9997" width="13.7109375" style="500" bestFit="1" customWidth="1"/>
    <col min="9998" max="9998" width="15.28515625" style="500" bestFit="1" customWidth="1"/>
    <col min="9999" max="9999" width="11.42578125" style="500"/>
    <col min="10000" max="10000" width="13.7109375" style="500" bestFit="1" customWidth="1"/>
    <col min="10001" max="10240" width="11.42578125" style="500"/>
    <col min="10241" max="10241" width="18" style="500" customWidth="1"/>
    <col min="10242" max="10242" width="13.7109375" style="500" bestFit="1" customWidth="1"/>
    <col min="10243" max="10243" width="18.42578125" style="500" bestFit="1" customWidth="1"/>
    <col min="10244" max="10253" width="13.7109375" style="500" bestFit="1" customWidth="1"/>
    <col min="10254" max="10254" width="15.28515625" style="500" bestFit="1" customWidth="1"/>
    <col min="10255" max="10255" width="11.42578125" style="500"/>
    <col min="10256" max="10256" width="13.7109375" style="500" bestFit="1" customWidth="1"/>
    <col min="10257" max="10496" width="11.42578125" style="500"/>
    <col min="10497" max="10497" width="18" style="500" customWidth="1"/>
    <col min="10498" max="10498" width="13.7109375" style="500" bestFit="1" customWidth="1"/>
    <col min="10499" max="10499" width="18.42578125" style="500" bestFit="1" customWidth="1"/>
    <col min="10500" max="10509" width="13.7109375" style="500" bestFit="1" customWidth="1"/>
    <col min="10510" max="10510" width="15.28515625" style="500" bestFit="1" customWidth="1"/>
    <col min="10511" max="10511" width="11.42578125" style="500"/>
    <col min="10512" max="10512" width="13.7109375" style="500" bestFit="1" customWidth="1"/>
    <col min="10513" max="10752" width="11.42578125" style="500"/>
    <col min="10753" max="10753" width="18" style="500" customWidth="1"/>
    <col min="10754" max="10754" width="13.7109375" style="500" bestFit="1" customWidth="1"/>
    <col min="10755" max="10755" width="18.42578125" style="500" bestFit="1" customWidth="1"/>
    <col min="10756" max="10765" width="13.7109375" style="500" bestFit="1" customWidth="1"/>
    <col min="10766" max="10766" width="15.28515625" style="500" bestFit="1" customWidth="1"/>
    <col min="10767" max="10767" width="11.42578125" style="500"/>
    <col min="10768" max="10768" width="13.7109375" style="500" bestFit="1" customWidth="1"/>
    <col min="10769" max="11008" width="11.42578125" style="500"/>
    <col min="11009" max="11009" width="18" style="500" customWidth="1"/>
    <col min="11010" max="11010" width="13.7109375" style="500" bestFit="1" customWidth="1"/>
    <col min="11011" max="11011" width="18.42578125" style="500" bestFit="1" customWidth="1"/>
    <col min="11012" max="11021" width="13.7109375" style="500" bestFit="1" customWidth="1"/>
    <col min="11022" max="11022" width="15.28515625" style="500" bestFit="1" customWidth="1"/>
    <col min="11023" max="11023" width="11.42578125" style="500"/>
    <col min="11024" max="11024" width="13.7109375" style="500" bestFit="1" customWidth="1"/>
    <col min="11025" max="11264" width="11.42578125" style="500"/>
    <col min="11265" max="11265" width="18" style="500" customWidth="1"/>
    <col min="11266" max="11266" width="13.7109375" style="500" bestFit="1" customWidth="1"/>
    <col min="11267" max="11267" width="18.42578125" style="500" bestFit="1" customWidth="1"/>
    <col min="11268" max="11277" width="13.7109375" style="500" bestFit="1" customWidth="1"/>
    <col min="11278" max="11278" width="15.28515625" style="500" bestFit="1" customWidth="1"/>
    <col min="11279" max="11279" width="11.42578125" style="500"/>
    <col min="11280" max="11280" width="13.7109375" style="500" bestFit="1" customWidth="1"/>
    <col min="11281" max="11520" width="11.42578125" style="500"/>
    <col min="11521" max="11521" width="18" style="500" customWidth="1"/>
    <col min="11522" max="11522" width="13.7109375" style="500" bestFit="1" customWidth="1"/>
    <col min="11523" max="11523" width="18.42578125" style="500" bestFit="1" customWidth="1"/>
    <col min="11524" max="11533" width="13.7109375" style="500" bestFit="1" customWidth="1"/>
    <col min="11534" max="11534" width="15.28515625" style="500" bestFit="1" customWidth="1"/>
    <col min="11535" max="11535" width="11.42578125" style="500"/>
    <col min="11536" max="11536" width="13.7109375" style="500" bestFit="1" customWidth="1"/>
    <col min="11537" max="11776" width="11.42578125" style="500"/>
    <col min="11777" max="11777" width="18" style="500" customWidth="1"/>
    <col min="11778" max="11778" width="13.7109375" style="500" bestFit="1" customWidth="1"/>
    <col min="11779" max="11779" width="18.42578125" style="500" bestFit="1" customWidth="1"/>
    <col min="11780" max="11789" width="13.7109375" style="500" bestFit="1" customWidth="1"/>
    <col min="11790" max="11790" width="15.28515625" style="500" bestFit="1" customWidth="1"/>
    <col min="11791" max="11791" width="11.42578125" style="500"/>
    <col min="11792" max="11792" width="13.7109375" style="500" bestFit="1" customWidth="1"/>
    <col min="11793" max="12032" width="11.42578125" style="500"/>
    <col min="12033" max="12033" width="18" style="500" customWidth="1"/>
    <col min="12034" max="12034" width="13.7109375" style="500" bestFit="1" customWidth="1"/>
    <col min="12035" max="12035" width="18.42578125" style="500" bestFit="1" customWidth="1"/>
    <col min="12036" max="12045" width="13.7109375" style="500" bestFit="1" customWidth="1"/>
    <col min="12046" max="12046" width="15.28515625" style="500" bestFit="1" customWidth="1"/>
    <col min="12047" max="12047" width="11.42578125" style="500"/>
    <col min="12048" max="12048" width="13.7109375" style="500" bestFit="1" customWidth="1"/>
    <col min="12049" max="12288" width="11.42578125" style="500"/>
    <col min="12289" max="12289" width="18" style="500" customWidth="1"/>
    <col min="12290" max="12290" width="13.7109375" style="500" bestFit="1" customWidth="1"/>
    <col min="12291" max="12291" width="18.42578125" style="500" bestFit="1" customWidth="1"/>
    <col min="12292" max="12301" width="13.7109375" style="500" bestFit="1" customWidth="1"/>
    <col min="12302" max="12302" width="15.28515625" style="500" bestFit="1" customWidth="1"/>
    <col min="12303" max="12303" width="11.42578125" style="500"/>
    <col min="12304" max="12304" width="13.7109375" style="500" bestFit="1" customWidth="1"/>
    <col min="12305" max="12544" width="11.42578125" style="500"/>
    <col min="12545" max="12545" width="18" style="500" customWidth="1"/>
    <col min="12546" max="12546" width="13.7109375" style="500" bestFit="1" customWidth="1"/>
    <col min="12547" max="12547" width="18.42578125" style="500" bestFit="1" customWidth="1"/>
    <col min="12548" max="12557" width="13.7109375" style="500" bestFit="1" customWidth="1"/>
    <col min="12558" max="12558" width="15.28515625" style="500" bestFit="1" customWidth="1"/>
    <col min="12559" max="12559" width="11.42578125" style="500"/>
    <col min="12560" max="12560" width="13.7109375" style="500" bestFit="1" customWidth="1"/>
    <col min="12561" max="12800" width="11.42578125" style="500"/>
    <col min="12801" max="12801" width="18" style="500" customWidth="1"/>
    <col min="12802" max="12802" width="13.7109375" style="500" bestFit="1" customWidth="1"/>
    <col min="12803" max="12803" width="18.42578125" style="500" bestFit="1" customWidth="1"/>
    <col min="12804" max="12813" width="13.7109375" style="500" bestFit="1" customWidth="1"/>
    <col min="12814" max="12814" width="15.28515625" style="500" bestFit="1" customWidth="1"/>
    <col min="12815" max="12815" width="11.42578125" style="500"/>
    <col min="12816" max="12816" width="13.7109375" style="500" bestFit="1" customWidth="1"/>
    <col min="12817" max="13056" width="11.42578125" style="500"/>
    <col min="13057" max="13057" width="18" style="500" customWidth="1"/>
    <col min="13058" max="13058" width="13.7109375" style="500" bestFit="1" customWidth="1"/>
    <col min="13059" max="13059" width="18.42578125" style="500" bestFit="1" customWidth="1"/>
    <col min="13060" max="13069" width="13.7109375" style="500" bestFit="1" customWidth="1"/>
    <col min="13070" max="13070" width="15.28515625" style="500" bestFit="1" customWidth="1"/>
    <col min="13071" max="13071" width="11.42578125" style="500"/>
    <col min="13072" max="13072" width="13.7109375" style="500" bestFit="1" customWidth="1"/>
    <col min="13073" max="13312" width="11.42578125" style="500"/>
    <col min="13313" max="13313" width="18" style="500" customWidth="1"/>
    <col min="13314" max="13314" width="13.7109375" style="500" bestFit="1" customWidth="1"/>
    <col min="13315" max="13315" width="18.42578125" style="500" bestFit="1" customWidth="1"/>
    <col min="13316" max="13325" width="13.7109375" style="500" bestFit="1" customWidth="1"/>
    <col min="13326" max="13326" width="15.28515625" style="500" bestFit="1" customWidth="1"/>
    <col min="13327" max="13327" width="11.42578125" style="500"/>
    <col min="13328" max="13328" width="13.7109375" style="500" bestFit="1" customWidth="1"/>
    <col min="13329" max="13568" width="11.42578125" style="500"/>
    <col min="13569" max="13569" width="18" style="500" customWidth="1"/>
    <col min="13570" max="13570" width="13.7109375" style="500" bestFit="1" customWidth="1"/>
    <col min="13571" max="13571" width="18.42578125" style="500" bestFit="1" customWidth="1"/>
    <col min="13572" max="13581" width="13.7109375" style="500" bestFit="1" customWidth="1"/>
    <col min="13582" max="13582" width="15.28515625" style="500" bestFit="1" customWidth="1"/>
    <col min="13583" max="13583" width="11.42578125" style="500"/>
    <col min="13584" max="13584" width="13.7109375" style="500" bestFit="1" customWidth="1"/>
    <col min="13585" max="13824" width="11.42578125" style="500"/>
    <col min="13825" max="13825" width="18" style="500" customWidth="1"/>
    <col min="13826" max="13826" width="13.7109375" style="500" bestFit="1" customWidth="1"/>
    <col min="13827" max="13827" width="18.42578125" style="500" bestFit="1" customWidth="1"/>
    <col min="13828" max="13837" width="13.7109375" style="500" bestFit="1" customWidth="1"/>
    <col min="13838" max="13838" width="15.28515625" style="500" bestFit="1" customWidth="1"/>
    <col min="13839" max="13839" width="11.42578125" style="500"/>
    <col min="13840" max="13840" width="13.7109375" style="500" bestFit="1" customWidth="1"/>
    <col min="13841" max="14080" width="11.42578125" style="500"/>
    <col min="14081" max="14081" width="18" style="500" customWidth="1"/>
    <col min="14082" max="14082" width="13.7109375" style="500" bestFit="1" customWidth="1"/>
    <col min="14083" max="14083" width="18.42578125" style="500" bestFit="1" customWidth="1"/>
    <col min="14084" max="14093" width="13.7109375" style="500" bestFit="1" customWidth="1"/>
    <col min="14094" max="14094" width="15.28515625" style="500" bestFit="1" customWidth="1"/>
    <col min="14095" max="14095" width="11.42578125" style="500"/>
    <col min="14096" max="14096" width="13.7109375" style="500" bestFit="1" customWidth="1"/>
    <col min="14097" max="14336" width="11.42578125" style="500"/>
    <col min="14337" max="14337" width="18" style="500" customWidth="1"/>
    <col min="14338" max="14338" width="13.7109375" style="500" bestFit="1" customWidth="1"/>
    <col min="14339" max="14339" width="18.42578125" style="500" bestFit="1" customWidth="1"/>
    <col min="14340" max="14349" width="13.7109375" style="500" bestFit="1" customWidth="1"/>
    <col min="14350" max="14350" width="15.28515625" style="500" bestFit="1" customWidth="1"/>
    <col min="14351" max="14351" width="11.42578125" style="500"/>
    <col min="14352" max="14352" width="13.7109375" style="500" bestFit="1" customWidth="1"/>
    <col min="14353" max="14592" width="11.42578125" style="500"/>
    <col min="14593" max="14593" width="18" style="500" customWidth="1"/>
    <col min="14594" max="14594" width="13.7109375" style="500" bestFit="1" customWidth="1"/>
    <col min="14595" max="14595" width="18.42578125" style="500" bestFit="1" customWidth="1"/>
    <col min="14596" max="14605" width="13.7109375" style="500" bestFit="1" customWidth="1"/>
    <col min="14606" max="14606" width="15.28515625" style="500" bestFit="1" customWidth="1"/>
    <col min="14607" max="14607" width="11.42578125" style="500"/>
    <col min="14608" max="14608" width="13.7109375" style="500" bestFit="1" customWidth="1"/>
    <col min="14609" max="14848" width="11.42578125" style="500"/>
    <col min="14849" max="14849" width="18" style="500" customWidth="1"/>
    <col min="14850" max="14850" width="13.7109375" style="500" bestFit="1" customWidth="1"/>
    <col min="14851" max="14851" width="18.42578125" style="500" bestFit="1" customWidth="1"/>
    <col min="14852" max="14861" width="13.7109375" style="500" bestFit="1" customWidth="1"/>
    <col min="14862" max="14862" width="15.28515625" style="500" bestFit="1" customWidth="1"/>
    <col min="14863" max="14863" width="11.42578125" style="500"/>
    <col min="14864" max="14864" width="13.7109375" style="500" bestFit="1" customWidth="1"/>
    <col min="14865" max="15104" width="11.42578125" style="500"/>
    <col min="15105" max="15105" width="18" style="500" customWidth="1"/>
    <col min="15106" max="15106" width="13.7109375" style="500" bestFit="1" customWidth="1"/>
    <col min="15107" max="15107" width="18.42578125" style="500" bestFit="1" customWidth="1"/>
    <col min="15108" max="15117" width="13.7109375" style="500" bestFit="1" customWidth="1"/>
    <col min="15118" max="15118" width="15.28515625" style="500" bestFit="1" customWidth="1"/>
    <col min="15119" max="15119" width="11.42578125" style="500"/>
    <col min="15120" max="15120" width="13.7109375" style="500" bestFit="1" customWidth="1"/>
    <col min="15121" max="15360" width="11.42578125" style="500"/>
    <col min="15361" max="15361" width="18" style="500" customWidth="1"/>
    <col min="15362" max="15362" width="13.7109375" style="500" bestFit="1" customWidth="1"/>
    <col min="15363" max="15363" width="18.42578125" style="500" bestFit="1" customWidth="1"/>
    <col min="15364" max="15373" width="13.7109375" style="500" bestFit="1" customWidth="1"/>
    <col min="15374" max="15374" width="15.28515625" style="500" bestFit="1" customWidth="1"/>
    <col min="15375" max="15375" width="11.42578125" style="500"/>
    <col min="15376" max="15376" width="13.7109375" style="500" bestFit="1" customWidth="1"/>
    <col min="15377" max="15616" width="11.42578125" style="500"/>
    <col min="15617" max="15617" width="18" style="500" customWidth="1"/>
    <col min="15618" max="15618" width="13.7109375" style="500" bestFit="1" customWidth="1"/>
    <col min="15619" max="15619" width="18.42578125" style="500" bestFit="1" customWidth="1"/>
    <col min="15620" max="15629" width="13.7109375" style="500" bestFit="1" customWidth="1"/>
    <col min="15630" max="15630" width="15.28515625" style="500" bestFit="1" customWidth="1"/>
    <col min="15631" max="15631" width="11.42578125" style="500"/>
    <col min="15632" max="15632" width="13.7109375" style="500" bestFit="1" customWidth="1"/>
    <col min="15633" max="15872" width="11.42578125" style="500"/>
    <col min="15873" max="15873" width="18" style="500" customWidth="1"/>
    <col min="15874" max="15874" width="13.7109375" style="500" bestFit="1" customWidth="1"/>
    <col min="15875" max="15875" width="18.42578125" style="500" bestFit="1" customWidth="1"/>
    <col min="15876" max="15885" width="13.7109375" style="500" bestFit="1" customWidth="1"/>
    <col min="15886" max="15886" width="15.28515625" style="500" bestFit="1" customWidth="1"/>
    <col min="15887" max="15887" width="11.42578125" style="500"/>
    <col min="15888" max="15888" width="13.7109375" style="500" bestFit="1" customWidth="1"/>
    <col min="15889" max="16128" width="11.42578125" style="500"/>
    <col min="16129" max="16129" width="18" style="500" customWidth="1"/>
    <col min="16130" max="16130" width="13.7109375" style="500" bestFit="1" customWidth="1"/>
    <col min="16131" max="16131" width="18.42578125" style="500" bestFit="1" customWidth="1"/>
    <col min="16132" max="16141" width="13.7109375" style="500" bestFit="1" customWidth="1"/>
    <col min="16142" max="16142" width="15.28515625" style="500" bestFit="1" customWidth="1"/>
    <col min="16143" max="16143" width="11.42578125" style="500"/>
    <col min="16144" max="16144" width="13.7109375" style="500" bestFit="1" customWidth="1"/>
    <col min="16145" max="16384" width="11.42578125" style="500"/>
  </cols>
  <sheetData>
    <row r="1" spans="1:16" ht="15.75" x14ac:dyDescent="0.25">
      <c r="A1" s="1191" t="s">
        <v>254</v>
      </c>
      <c r="B1" s="1191"/>
      <c r="C1" s="1191"/>
      <c r="D1" s="1191"/>
      <c r="E1" s="1191"/>
      <c r="F1" s="1191"/>
      <c r="G1" s="1191"/>
      <c r="H1" s="1191"/>
      <c r="I1" s="1191"/>
      <c r="J1" s="1191"/>
      <c r="K1" s="1191"/>
      <c r="L1" s="1191"/>
      <c r="M1" s="1191"/>
    </row>
    <row r="2" spans="1:16" x14ac:dyDescent="0.2">
      <c r="A2" s="1192" t="s">
        <v>255</v>
      </c>
      <c r="B2" s="1192"/>
      <c r="C2" s="1192"/>
      <c r="D2" s="1192"/>
      <c r="E2" s="1192"/>
      <c r="F2" s="1192"/>
      <c r="G2" s="1192"/>
      <c r="H2" s="1192"/>
      <c r="I2" s="1192"/>
      <c r="J2" s="1192"/>
      <c r="K2" s="1192"/>
      <c r="L2" s="1192"/>
      <c r="M2" s="1192"/>
      <c r="N2" s="589"/>
    </row>
    <row r="3" spans="1:16" x14ac:dyDescent="0.2">
      <c r="A3" s="1192" t="s">
        <v>256</v>
      </c>
      <c r="B3" s="1192"/>
      <c r="C3" s="1192"/>
      <c r="D3" s="1192"/>
      <c r="E3" s="1192"/>
      <c r="F3" s="1192"/>
      <c r="G3" s="1192"/>
      <c r="H3" s="1192"/>
      <c r="I3" s="1192"/>
      <c r="J3" s="1192"/>
      <c r="K3" s="1192"/>
      <c r="L3" s="1192"/>
      <c r="M3" s="1192"/>
      <c r="N3" s="589"/>
    </row>
    <row r="4" spans="1:16" x14ac:dyDescent="0.2">
      <c r="A4" s="1304" t="s">
        <v>325</v>
      </c>
      <c r="B4" s="1304"/>
      <c r="C4" s="1304"/>
      <c r="D4" s="1304"/>
      <c r="E4" s="1304"/>
      <c r="F4" s="1304"/>
      <c r="G4" s="1304"/>
      <c r="H4" s="1304"/>
      <c r="I4" s="1304"/>
      <c r="J4" s="1304"/>
      <c r="K4" s="1304"/>
      <c r="L4" s="1304"/>
      <c r="M4" s="1304"/>
    </row>
    <row r="5" spans="1:16" x14ac:dyDescent="0.2">
      <c r="A5" s="1309" t="s">
        <v>410</v>
      </c>
      <c r="B5" s="1309"/>
      <c r="C5" s="1309"/>
      <c r="D5" s="1309"/>
      <c r="E5" s="1309"/>
      <c r="F5" s="1309"/>
      <c r="G5" s="1309"/>
      <c r="H5" s="1309"/>
      <c r="I5" s="1309"/>
      <c r="J5" s="1309"/>
      <c r="K5" s="1309"/>
      <c r="L5" s="1309"/>
      <c r="M5" s="1309"/>
    </row>
    <row r="6" spans="1:16" x14ac:dyDescent="0.2">
      <c r="A6" s="590"/>
      <c r="B6" s="591"/>
      <c r="C6" s="591"/>
      <c r="D6" s="591"/>
      <c r="E6" s="591"/>
      <c r="F6" s="591"/>
      <c r="G6" s="591"/>
      <c r="H6" s="591"/>
      <c r="I6" s="591"/>
      <c r="J6" s="591"/>
      <c r="K6" s="591"/>
      <c r="L6" s="591"/>
      <c r="M6" s="591"/>
    </row>
    <row r="7" spans="1:16" x14ac:dyDescent="0.2">
      <c r="A7" s="590">
        <f>SUM(B7:M7)</f>
        <v>99.999999999999986</v>
      </c>
      <c r="B7" s="591">
        <f>'X22.55 DOF'!B7</f>
        <v>7.3410765304678254</v>
      </c>
      <c r="C7" s="591">
        <f>'X22.55 DOF'!C7</f>
        <v>9.9443423054081421</v>
      </c>
      <c r="D7" s="591">
        <f>'X22.55 DOF'!D7</f>
        <v>7.4046174705678505</v>
      </c>
      <c r="E7" s="591">
        <f>'X22.55 DOF'!E7</f>
        <v>10.672867658453667</v>
      </c>
      <c r="F7" s="591">
        <f>'X22.55 DOF'!F7</f>
        <v>8.9282667057197056</v>
      </c>
      <c r="G7" s="591">
        <f>'X22.55 DOF'!G7</f>
        <v>9.1315836644616954</v>
      </c>
      <c r="H7" s="591">
        <f>'X22.55 DOF'!H7</f>
        <v>8.0804908327748386</v>
      </c>
      <c r="I7" s="591">
        <f>'X22.55 DOF'!I7</f>
        <v>8.4822251765862688</v>
      </c>
      <c r="J7" s="591">
        <f>'X22.55 DOF'!J7</f>
        <v>7.8316895412608512</v>
      </c>
      <c r="K7" s="591">
        <f>'X22.55 DOF'!K7</f>
        <v>6.6988142042381096</v>
      </c>
      <c r="L7" s="591">
        <f>'X22.55 DOF'!L7</f>
        <v>7.6281198737813067</v>
      </c>
      <c r="M7" s="591">
        <f>'X22.55 DOF'!M7</f>
        <v>7.8559060362797375</v>
      </c>
    </row>
    <row r="8" spans="1:16" ht="13.5" thickBot="1" x14ac:dyDescent="0.25">
      <c r="A8" s="1308"/>
      <c r="B8" s="1308"/>
      <c r="C8" s="1308"/>
      <c r="D8" s="1308"/>
      <c r="E8" s="1308"/>
      <c r="F8" s="1308"/>
      <c r="G8" s="1308"/>
      <c r="H8" s="1308"/>
      <c r="I8" s="1308"/>
      <c r="J8" s="1308"/>
      <c r="K8" s="1308"/>
      <c r="L8" s="1308"/>
      <c r="M8" s="1308"/>
    </row>
    <row r="9" spans="1:16" ht="13.5" thickBot="1" x14ac:dyDescent="0.25">
      <c r="A9" s="592" t="s">
        <v>326</v>
      </c>
      <c r="B9" s="593" t="s">
        <v>1</v>
      </c>
      <c r="C9" s="593" t="s">
        <v>2</v>
      </c>
      <c r="D9" s="593" t="s">
        <v>3</v>
      </c>
      <c r="E9" s="593" t="s">
        <v>4</v>
      </c>
      <c r="F9" s="593" t="s">
        <v>5</v>
      </c>
      <c r="G9" s="593" t="s">
        <v>6</v>
      </c>
      <c r="H9" s="593" t="s">
        <v>7</v>
      </c>
      <c r="I9" s="593" t="s">
        <v>8</v>
      </c>
      <c r="J9" s="593" t="s">
        <v>9</v>
      </c>
      <c r="K9" s="593" t="s">
        <v>10</v>
      </c>
      <c r="L9" s="593" t="s">
        <v>11</v>
      </c>
      <c r="M9" s="593" t="s">
        <v>12</v>
      </c>
    </row>
    <row r="10" spans="1:16" ht="13.5" thickBot="1" x14ac:dyDescent="0.25">
      <c r="A10" s="852">
        <v>9794791155</v>
      </c>
      <c r="B10" s="595">
        <f>$A$10*B7/100</f>
        <v>719043114.68804336</v>
      </c>
      <c r="C10" s="595">
        <f t="shared" ref="C10:L10" si="0">$A$10*C7/100</f>
        <v>974027560.55303991</v>
      </c>
      <c r="D10" s="595">
        <f t="shared" si="0"/>
        <v>725266817.06876445</v>
      </c>
      <c r="E10" s="595">
        <f t="shared" si="0"/>
        <v>1045385097.3950753</v>
      </c>
      <c r="F10" s="595">
        <f t="shared" si="0"/>
        <v>874505077.5866437</v>
      </c>
      <c r="G10" s="595">
        <f t="shared" si="0"/>
        <v>894419549.07811904</v>
      </c>
      <c r="H10" s="595">
        <f t="shared" si="0"/>
        <v>791467201.36921573</v>
      </c>
      <c r="I10" s="595">
        <f t="shared" si="0"/>
        <v>830816241.34345508</v>
      </c>
      <c r="J10" s="595">
        <f t="shared" si="0"/>
        <v>767097634.47447801</v>
      </c>
      <c r="K10" s="595">
        <f t="shared" si="0"/>
        <v>656134861.16659796</v>
      </c>
      <c r="L10" s="595">
        <f t="shared" si="0"/>
        <v>747158410.68992853</v>
      </c>
      <c r="M10" s="595">
        <f>$A$10*M7/100</f>
        <v>769469589.58663881</v>
      </c>
      <c r="N10" s="596">
        <f>SUM(B10)</f>
        <v>719043114.68804336</v>
      </c>
      <c r="O10" s="509">
        <f>SUM(B10:C10)</f>
        <v>1693070675.2410831</v>
      </c>
    </row>
    <row r="11" spans="1:16" ht="13.5" thickBot="1" x14ac:dyDescent="0.25">
      <c r="A11" s="594"/>
      <c r="B11" s="610"/>
      <c r="C11" s="598"/>
      <c r="D11" s="598"/>
      <c r="E11" s="598"/>
      <c r="F11" s="598"/>
      <c r="G11" s="598"/>
      <c r="H11" s="598"/>
      <c r="I11" s="598"/>
      <c r="J11" s="598"/>
      <c r="K11" s="598"/>
      <c r="L11" s="598"/>
      <c r="M11" s="599"/>
      <c r="N11" s="596"/>
      <c r="O11" s="509"/>
    </row>
    <row r="12" spans="1:16" ht="13.5" thickBot="1" x14ac:dyDescent="0.25">
      <c r="A12" s="600">
        <v>0.22500000000000001</v>
      </c>
      <c r="B12" s="601">
        <v>0.22500000000000001</v>
      </c>
      <c r="C12" s="602">
        <v>0.22500000000000001</v>
      </c>
      <c r="D12" s="602">
        <v>0.22500000000000001</v>
      </c>
      <c r="E12" s="602">
        <v>0.22500000000000001</v>
      </c>
      <c r="F12" s="602">
        <v>0.22500000000000001</v>
      </c>
      <c r="G12" s="602">
        <v>0.22500000000000001</v>
      </c>
      <c r="H12" s="602">
        <v>0.22500000000000001</v>
      </c>
      <c r="I12" s="602">
        <v>0.22500000000000001</v>
      </c>
      <c r="J12" s="602">
        <v>0.22500000000000001</v>
      </c>
      <c r="K12" s="602">
        <v>0.22500000000000001</v>
      </c>
      <c r="L12" s="602">
        <v>0.22500000000000001</v>
      </c>
      <c r="M12" s="602">
        <v>0.22500000000000001</v>
      </c>
      <c r="N12" s="596"/>
      <c r="O12" s="509"/>
    </row>
    <row r="13" spans="1:16" ht="13.5" thickBot="1" x14ac:dyDescent="0.25">
      <c r="A13" s="594">
        <f>A10*A12</f>
        <v>2203828009.875</v>
      </c>
      <c r="B13" s="603">
        <f>B10*B12</f>
        <v>161784700.80480975</v>
      </c>
      <c r="C13" s="603">
        <f>C10*C12</f>
        <v>219156201.12443399</v>
      </c>
      <c r="D13" s="603">
        <f>D10*D12</f>
        <v>163185033.84047201</v>
      </c>
      <c r="E13" s="603">
        <f t="shared" ref="E13:J13" si="1">E10*E12</f>
        <v>235211646.91389194</v>
      </c>
      <c r="F13" s="603">
        <f t="shared" si="1"/>
        <v>196763642.45699483</v>
      </c>
      <c r="G13" s="603">
        <f t="shared" si="1"/>
        <v>201244398.54257679</v>
      </c>
      <c r="H13" s="603">
        <f t="shared" si="1"/>
        <v>178080120.30807355</v>
      </c>
      <c r="I13" s="603">
        <f t="shared" si="1"/>
        <v>186933654.30227739</v>
      </c>
      <c r="J13" s="603">
        <f t="shared" si="1"/>
        <v>172596967.75675756</v>
      </c>
      <c r="K13" s="603">
        <f>K10*K12</f>
        <v>147630343.76248455</v>
      </c>
      <c r="L13" s="603">
        <f>L10*L12</f>
        <v>168110642.40523392</v>
      </c>
      <c r="M13" s="603">
        <f>M10*M12</f>
        <v>173130657.65699375</v>
      </c>
      <c r="N13" s="596">
        <f>SUM(B13)</f>
        <v>161784700.80480975</v>
      </c>
      <c r="O13" s="509">
        <f t="shared" ref="O13:O73" si="2">SUM(B13:C13)</f>
        <v>380940901.92924374</v>
      </c>
    </row>
    <row r="14" spans="1:16" x14ac:dyDescent="0.2">
      <c r="A14" s="604" t="s">
        <v>327</v>
      </c>
      <c r="B14" s="605">
        <v>79519983.975000009</v>
      </c>
      <c r="C14" s="605">
        <v>93406104.225000009</v>
      </c>
      <c r="D14" s="605">
        <v>77611356.900000006</v>
      </c>
      <c r="E14" s="605">
        <v>85589943.075000003</v>
      </c>
      <c r="F14" s="605">
        <v>72480824.325000003</v>
      </c>
      <c r="G14" s="605">
        <v>69571626.975000009</v>
      </c>
      <c r="H14" s="605">
        <v>86727042.900000006</v>
      </c>
      <c r="I14" s="605">
        <v>74664112.950000003</v>
      </c>
      <c r="J14" s="605">
        <v>83212012.575000003</v>
      </c>
      <c r="K14" s="605">
        <v>95450367.375</v>
      </c>
      <c r="L14" s="605">
        <v>74640343.950000003</v>
      </c>
      <c r="M14" s="605">
        <v>83654296.875</v>
      </c>
      <c r="O14" s="509"/>
      <c r="P14" s="509"/>
    </row>
    <row r="15" spans="1:16" ht="13.5" thickBot="1" x14ac:dyDescent="0.25">
      <c r="A15" s="604" t="s">
        <v>328</v>
      </c>
      <c r="B15" s="605">
        <f>B13-B14</f>
        <v>82264716.82980974</v>
      </c>
      <c r="C15" s="605">
        <f t="shared" ref="C15:M15" si="3">C13-C14</f>
        <v>125750096.89943399</v>
      </c>
      <c r="D15" s="605">
        <f t="shared" si="3"/>
        <v>85573676.940472007</v>
      </c>
      <c r="E15" s="605">
        <f t="shared" si="3"/>
        <v>149621703.83889192</v>
      </c>
      <c r="F15" s="605">
        <f t="shared" si="3"/>
        <v>124282818.13199483</v>
      </c>
      <c r="G15" s="605">
        <f t="shared" si="3"/>
        <v>131672771.56757678</v>
      </c>
      <c r="H15" s="605">
        <f t="shared" si="3"/>
        <v>91353077.408073545</v>
      </c>
      <c r="I15" s="605">
        <f t="shared" si="3"/>
        <v>112269541.35227738</v>
      </c>
      <c r="J15" s="605">
        <f t="shared" si="3"/>
        <v>89384955.181757554</v>
      </c>
      <c r="K15" s="605">
        <f t="shared" si="3"/>
        <v>52179976.38748455</v>
      </c>
      <c r="L15" s="605">
        <f t="shared" si="3"/>
        <v>93470298.455233917</v>
      </c>
      <c r="M15" s="605">
        <f t="shared" si="3"/>
        <v>89476360.781993747</v>
      </c>
      <c r="O15" s="509"/>
    </row>
    <row r="16" spans="1:16" ht="13.5" thickBot="1" x14ac:dyDescent="0.25">
      <c r="A16" s="606" t="s">
        <v>364</v>
      </c>
      <c r="B16" s="607">
        <f>B14+B15</f>
        <v>161784700.80480975</v>
      </c>
      <c r="C16" s="607">
        <f t="shared" ref="C16:M16" si="4">C14+C15</f>
        <v>219156201.12443399</v>
      </c>
      <c r="D16" s="607">
        <f t="shared" si="4"/>
        <v>163185033.84047201</v>
      </c>
      <c r="E16" s="607">
        <f t="shared" si="4"/>
        <v>235211646.91389191</v>
      </c>
      <c r="F16" s="607">
        <f t="shared" si="4"/>
        <v>196763642.45699483</v>
      </c>
      <c r="G16" s="607">
        <f t="shared" si="4"/>
        <v>201244398.54257679</v>
      </c>
      <c r="H16" s="607">
        <f t="shared" si="4"/>
        <v>178080120.30807355</v>
      </c>
      <c r="I16" s="607">
        <f t="shared" si="4"/>
        <v>186933654.30227739</v>
      </c>
      <c r="J16" s="607">
        <f t="shared" si="4"/>
        <v>172596967.75675756</v>
      </c>
      <c r="K16" s="607">
        <f t="shared" si="4"/>
        <v>147630343.76248455</v>
      </c>
      <c r="L16" s="607">
        <f t="shared" si="4"/>
        <v>168110642.40523392</v>
      </c>
      <c r="M16" s="607">
        <f t="shared" si="4"/>
        <v>173130657.65699375</v>
      </c>
      <c r="O16" s="509"/>
    </row>
    <row r="17" spans="1:15" x14ac:dyDescent="0.2">
      <c r="A17" s="1304" t="s">
        <v>325</v>
      </c>
      <c r="B17" s="1304"/>
      <c r="C17" s="1304"/>
      <c r="D17" s="1304"/>
      <c r="E17" s="1304"/>
      <c r="F17" s="1304"/>
      <c r="G17" s="1304"/>
      <c r="H17" s="1304"/>
      <c r="I17" s="1304"/>
      <c r="J17" s="1304"/>
      <c r="K17" s="1304"/>
      <c r="L17" s="1304"/>
      <c r="M17" s="1304"/>
      <c r="O17" s="509"/>
    </row>
    <row r="18" spans="1:15" x14ac:dyDescent="0.2">
      <c r="A18" s="1309" t="s">
        <v>411</v>
      </c>
      <c r="B18" s="1309"/>
      <c r="C18" s="1309"/>
      <c r="D18" s="1309"/>
      <c r="E18" s="1309"/>
      <c r="F18" s="1309"/>
      <c r="G18" s="1309"/>
      <c r="H18" s="1309"/>
      <c r="I18" s="1309"/>
      <c r="J18" s="1309"/>
      <c r="K18" s="1309"/>
      <c r="L18" s="1309"/>
      <c r="M18" s="1309"/>
      <c r="O18" s="509"/>
    </row>
    <row r="19" spans="1:15" x14ac:dyDescent="0.2">
      <c r="A19" s="590"/>
      <c r="B19" s="591"/>
      <c r="C19" s="591"/>
      <c r="D19" s="591"/>
      <c r="E19" s="591"/>
      <c r="F19" s="591"/>
      <c r="G19" s="591"/>
      <c r="H19" s="591"/>
      <c r="I19" s="591"/>
      <c r="J19" s="591"/>
      <c r="K19" s="591"/>
      <c r="L19" s="591"/>
      <c r="M19" s="591"/>
      <c r="O19" s="509"/>
    </row>
    <row r="20" spans="1:15" ht="13.5" thickBot="1" x14ac:dyDescent="0.25">
      <c r="A20" s="608">
        <f>SUM(B20:M20)</f>
        <v>100</v>
      </c>
      <c r="B20" s="609">
        <f>'X22.55 DOF'!B17</f>
        <v>7.3395405915388272</v>
      </c>
      <c r="C20" s="609">
        <f>'X22.55 DOF'!C17</f>
        <v>9.9475053739308752</v>
      </c>
      <c r="D20" s="609">
        <f>'X22.55 DOF'!D17</f>
        <v>7.403196332308835</v>
      </c>
      <c r="E20" s="609">
        <f>'X22.55 DOF'!E17</f>
        <v>10.677345723865367</v>
      </c>
      <c r="F20" s="609">
        <f>'X22.55 DOF'!F17</f>
        <v>8.929595778994063</v>
      </c>
      <c r="G20" s="609">
        <f>'X22.55 DOF'!G17</f>
        <v>9.133279674592929</v>
      </c>
      <c r="H20" s="609">
        <f>'X22.55 DOF'!H17</f>
        <v>8.0797792634081329</v>
      </c>
      <c r="I20" s="609">
        <f>'X22.55 DOF'!I17</f>
        <v>8.482238799868048</v>
      </c>
      <c r="J20" s="609">
        <f>'X22.55 DOF'!J17</f>
        <v>7.8305289075537328</v>
      </c>
      <c r="K20" s="609">
        <f>'X22.55 DOF'!K17</f>
        <v>6.695608714626383</v>
      </c>
      <c r="L20" s="609">
        <f>'X22.55 DOF'!L17</f>
        <v>7.626591701814597</v>
      </c>
      <c r="M20" s="609">
        <f>'X22.55 DOF'!M17</f>
        <v>7.8547891374982086</v>
      </c>
      <c r="O20" s="509"/>
    </row>
    <row r="21" spans="1:15" ht="13.5" thickBot="1" x14ac:dyDescent="0.25">
      <c r="A21" s="592" t="s">
        <v>326</v>
      </c>
      <c r="B21" s="593" t="s">
        <v>1</v>
      </c>
      <c r="C21" s="593" t="s">
        <v>2</v>
      </c>
      <c r="D21" s="593" t="s">
        <v>3</v>
      </c>
      <c r="E21" s="593" t="s">
        <v>4</v>
      </c>
      <c r="F21" s="593" t="s">
        <v>5</v>
      </c>
      <c r="G21" s="593" t="s">
        <v>6</v>
      </c>
      <c r="H21" s="593" t="s">
        <v>7</v>
      </c>
      <c r="I21" s="593" t="s">
        <v>8</v>
      </c>
      <c r="J21" s="593" t="s">
        <v>9</v>
      </c>
      <c r="K21" s="593" t="s">
        <v>10</v>
      </c>
      <c r="L21" s="593" t="s">
        <v>11</v>
      </c>
      <c r="M21" s="593" t="s">
        <v>12</v>
      </c>
      <c r="O21" s="509"/>
    </row>
    <row r="22" spans="1:15" ht="13.5" thickBot="1" x14ac:dyDescent="0.25">
      <c r="A22" s="853">
        <v>676925979</v>
      </c>
      <c r="B22" s="610">
        <f>$A$22*B20/100</f>
        <v>49683257.003376596</v>
      </c>
      <c r="C22" s="610">
        <f t="shared" ref="C22:M22" si="5">$A$22*C20/100</f>
        <v>67337248.138559192</v>
      </c>
      <c r="D22" s="610">
        <f t="shared" si="5"/>
        <v>50114159.249773674</v>
      </c>
      <c r="E22" s="610">
        <f t="shared" si="5"/>
        <v>72277727.072490275</v>
      </c>
      <c r="F22" s="610">
        <f t="shared" si="5"/>
        <v>60446753.647698238</v>
      </c>
      <c r="G22" s="610">
        <f t="shared" si="5"/>
        <v>61825542.852046207</v>
      </c>
      <c r="H22" s="610">
        <f t="shared" si="5"/>
        <v>54694124.879864492</v>
      </c>
      <c r="I22" s="610">
        <f t="shared" si="5"/>
        <v>57418478.037124634</v>
      </c>
      <c r="J22" s="610">
        <f t="shared" si="5"/>
        <v>53006884.468336113</v>
      </c>
      <c r="K22" s="610">
        <f t="shared" si="5"/>
        <v>45324314.841493957</v>
      </c>
      <c r="L22" s="610">
        <f t="shared" si="5"/>
        <v>51626380.541841224</v>
      </c>
      <c r="M22" s="610">
        <f t="shared" si="5"/>
        <v>53171108.2673954</v>
      </c>
      <c r="N22" s="596">
        <f>SUM(B22)</f>
        <v>49683257.003376596</v>
      </c>
      <c r="O22" s="509">
        <f t="shared" si="2"/>
        <v>117020505.1419358</v>
      </c>
    </row>
    <row r="23" spans="1:15" x14ac:dyDescent="0.2">
      <c r="A23" s="604" t="s">
        <v>327</v>
      </c>
      <c r="B23" s="597">
        <v>35431649</v>
      </c>
      <c r="C23" s="597">
        <v>40934154</v>
      </c>
      <c r="D23" s="597">
        <v>34575072</v>
      </c>
      <c r="E23" s="597">
        <v>38155801</v>
      </c>
      <c r="F23" s="597">
        <v>32272527</v>
      </c>
      <c r="G23" s="597">
        <v>34566214</v>
      </c>
      <c r="H23" s="597">
        <v>38666123</v>
      </c>
      <c r="I23" s="597">
        <v>33252371</v>
      </c>
      <c r="J23" s="597">
        <v>37088604</v>
      </c>
      <c r="K23" s="597">
        <v>37002228</v>
      </c>
      <c r="L23" s="597">
        <v>33241703</v>
      </c>
      <c r="M23" s="597">
        <v>37287098</v>
      </c>
      <c r="O23" s="509"/>
    </row>
    <row r="24" spans="1:15" x14ac:dyDescent="0.2">
      <c r="A24" s="604" t="s">
        <v>328</v>
      </c>
      <c r="B24" s="597">
        <f>B22-B23</f>
        <v>14251608.003376596</v>
      </c>
      <c r="C24" s="597">
        <f t="shared" ref="C24:M24" si="6">C22-C23</f>
        <v>26403094.138559192</v>
      </c>
      <c r="D24" s="597">
        <f t="shared" si="6"/>
        <v>15539087.249773674</v>
      </c>
      <c r="E24" s="597">
        <f t="shared" si="6"/>
        <v>34121926.072490275</v>
      </c>
      <c r="F24" s="597">
        <f t="shared" si="6"/>
        <v>28174226.647698238</v>
      </c>
      <c r="G24" s="597">
        <f t="shared" si="6"/>
        <v>27259328.852046207</v>
      </c>
      <c r="H24" s="597">
        <f t="shared" si="6"/>
        <v>16028001.879864492</v>
      </c>
      <c r="I24" s="597">
        <f t="shared" si="6"/>
        <v>24166107.037124634</v>
      </c>
      <c r="J24" s="597">
        <f t="shared" si="6"/>
        <v>15918280.468336113</v>
      </c>
      <c r="K24" s="597">
        <f t="shared" si="6"/>
        <v>8322086.8414939567</v>
      </c>
      <c r="L24" s="597">
        <f t="shared" si="6"/>
        <v>18384677.541841224</v>
      </c>
      <c r="M24" s="597">
        <f t="shared" si="6"/>
        <v>15884010.2673954</v>
      </c>
      <c r="O24" s="509"/>
    </row>
    <row r="25" spans="1:15" x14ac:dyDescent="0.2">
      <c r="A25" s="548">
        <v>0.7</v>
      </c>
      <c r="B25" s="611">
        <f>B24*$A$25</f>
        <v>9976125.6023636162</v>
      </c>
      <c r="C25" s="611">
        <f t="shared" ref="C25:M25" si="7">C24*$A$25</f>
        <v>18482165.896991432</v>
      </c>
      <c r="D25" s="611">
        <f t="shared" si="7"/>
        <v>10877361.07484157</v>
      </c>
      <c r="E25" s="611">
        <f t="shared" si="7"/>
        <v>23885348.250743192</v>
      </c>
      <c r="F25" s="611">
        <f t="shared" si="7"/>
        <v>19721958.653388765</v>
      </c>
      <c r="G25" s="611">
        <f t="shared" si="7"/>
        <v>19081530.196432345</v>
      </c>
      <c r="H25" s="611">
        <f t="shared" si="7"/>
        <v>11219601.315905143</v>
      </c>
      <c r="I25" s="611">
        <f t="shared" si="7"/>
        <v>16916274.925987244</v>
      </c>
      <c r="J25" s="611">
        <f t="shared" si="7"/>
        <v>11142796.327835279</v>
      </c>
      <c r="K25" s="611">
        <f t="shared" si="7"/>
        <v>5825460.7890457697</v>
      </c>
      <c r="L25" s="611">
        <f t="shared" si="7"/>
        <v>12869274.279288856</v>
      </c>
      <c r="M25" s="611">
        <f t="shared" si="7"/>
        <v>11118807.187176779</v>
      </c>
      <c r="O25" s="509"/>
    </row>
    <row r="26" spans="1:15" ht="13.5" thickBot="1" x14ac:dyDescent="0.25">
      <c r="A26" s="612">
        <v>0.3</v>
      </c>
      <c r="B26" s="611">
        <f>B24*$A$26</f>
        <v>4275482.4010129785</v>
      </c>
      <c r="C26" s="611">
        <f t="shared" ref="C26:M26" si="8">C24*$A$26</f>
        <v>7920928.241567757</v>
      </c>
      <c r="D26" s="611">
        <f t="shared" si="8"/>
        <v>4661726.1749321017</v>
      </c>
      <c r="E26" s="611">
        <f t="shared" si="8"/>
        <v>10236577.821747081</v>
      </c>
      <c r="F26" s="611">
        <f t="shared" si="8"/>
        <v>8452267.9943094719</v>
      </c>
      <c r="G26" s="611">
        <f t="shared" si="8"/>
        <v>8177798.655613862</v>
      </c>
      <c r="H26" s="611">
        <f t="shared" si="8"/>
        <v>4808400.5639593471</v>
      </c>
      <c r="I26" s="611">
        <f t="shared" si="8"/>
        <v>7249832.1111373901</v>
      </c>
      <c r="J26" s="611">
        <f t="shared" si="8"/>
        <v>4775484.1405008333</v>
      </c>
      <c r="K26" s="611">
        <f t="shared" si="8"/>
        <v>2496626.052448187</v>
      </c>
      <c r="L26" s="611">
        <f t="shared" si="8"/>
        <v>5515403.2625523666</v>
      </c>
      <c r="M26" s="611">
        <f t="shared" si="8"/>
        <v>4765203.0802186197</v>
      </c>
      <c r="O26" s="509"/>
    </row>
    <row r="27" spans="1:15" ht="13.5" thickBot="1" x14ac:dyDescent="0.25">
      <c r="A27" s="606" t="s">
        <v>364</v>
      </c>
      <c r="B27" s="611">
        <f>SUM(B25:B26)</f>
        <v>14251608.003376596</v>
      </c>
      <c r="C27" s="611">
        <f t="shared" ref="C27:M27" si="9">SUM(C25:C26)</f>
        <v>26403094.138559189</v>
      </c>
      <c r="D27" s="611">
        <f t="shared" si="9"/>
        <v>15539087.249773672</v>
      </c>
      <c r="E27" s="611">
        <f t="shared" si="9"/>
        <v>34121926.072490275</v>
      </c>
      <c r="F27" s="611">
        <f t="shared" si="9"/>
        <v>28174226.647698238</v>
      </c>
      <c r="G27" s="611">
        <f t="shared" si="9"/>
        <v>27259328.852046207</v>
      </c>
      <c r="H27" s="611">
        <f t="shared" si="9"/>
        <v>16028001.87986449</v>
      </c>
      <c r="I27" s="611">
        <f t="shared" si="9"/>
        <v>24166107.037124634</v>
      </c>
      <c r="J27" s="611">
        <f t="shared" si="9"/>
        <v>15918280.468336113</v>
      </c>
      <c r="K27" s="611">
        <f t="shared" si="9"/>
        <v>8322086.8414939567</v>
      </c>
      <c r="L27" s="611">
        <f t="shared" si="9"/>
        <v>18384677.541841224</v>
      </c>
      <c r="M27" s="611">
        <f t="shared" si="9"/>
        <v>15884010.2673954</v>
      </c>
      <c r="N27" s="613"/>
      <c r="O27" s="509"/>
    </row>
    <row r="28" spans="1:15" x14ac:dyDescent="0.2">
      <c r="A28" s="614"/>
      <c r="B28" s="611"/>
      <c r="C28" s="611"/>
      <c r="D28" s="611"/>
      <c r="E28" s="611"/>
      <c r="F28" s="611"/>
      <c r="G28" s="611"/>
      <c r="H28" s="611"/>
      <c r="I28" s="611"/>
      <c r="J28" s="611"/>
      <c r="K28" s="611"/>
      <c r="L28" s="611"/>
      <c r="M28" s="611"/>
      <c r="O28" s="509"/>
    </row>
    <row r="29" spans="1:15" x14ac:dyDescent="0.2">
      <c r="A29" s="614"/>
      <c r="B29" s="611"/>
      <c r="C29" s="611"/>
      <c r="D29" s="611"/>
      <c r="E29" s="611"/>
      <c r="F29" s="611"/>
      <c r="G29" s="611"/>
      <c r="H29" s="611"/>
      <c r="I29" s="611"/>
      <c r="J29" s="611"/>
      <c r="K29" s="611"/>
      <c r="L29" s="611"/>
      <c r="M29" s="611"/>
      <c r="O29" s="509"/>
    </row>
    <row r="30" spans="1:15" x14ac:dyDescent="0.2">
      <c r="A30" s="614"/>
      <c r="B30" s="611"/>
      <c r="C30" s="611"/>
      <c r="D30" s="611"/>
      <c r="E30" s="611"/>
      <c r="F30" s="611"/>
      <c r="G30" s="611"/>
      <c r="H30" s="611"/>
      <c r="I30" s="611"/>
      <c r="J30" s="611"/>
      <c r="K30" s="611"/>
      <c r="L30" s="611"/>
      <c r="M30" s="611"/>
      <c r="O30" s="509"/>
    </row>
    <row r="31" spans="1:15" x14ac:dyDescent="0.2">
      <c r="A31" s="1304" t="s">
        <v>325</v>
      </c>
      <c r="B31" s="1304"/>
      <c r="C31" s="1304"/>
      <c r="D31" s="1304"/>
      <c r="E31" s="1304"/>
      <c r="F31" s="1304"/>
      <c r="G31" s="1304"/>
      <c r="H31" s="1304"/>
      <c r="I31" s="1304"/>
      <c r="J31" s="1304"/>
      <c r="K31" s="1304"/>
      <c r="L31" s="1304"/>
      <c r="M31" s="1304"/>
      <c r="O31" s="509"/>
    </row>
    <row r="32" spans="1:15" x14ac:dyDescent="0.2">
      <c r="A32" s="1309" t="s">
        <v>412</v>
      </c>
      <c r="B32" s="1309"/>
      <c r="C32" s="1309"/>
      <c r="D32" s="1309"/>
      <c r="E32" s="1309"/>
      <c r="F32" s="1309"/>
      <c r="G32" s="1309"/>
      <c r="H32" s="1309"/>
      <c r="I32" s="1309"/>
      <c r="J32" s="1309"/>
      <c r="K32" s="1309"/>
      <c r="L32" s="1309"/>
      <c r="M32" s="1309"/>
      <c r="O32" s="509"/>
    </row>
    <row r="33" spans="1:16" x14ac:dyDescent="0.2">
      <c r="A33" s="590"/>
      <c r="B33" s="591"/>
      <c r="C33" s="591"/>
      <c r="D33" s="591"/>
      <c r="E33" s="591"/>
      <c r="F33" s="591"/>
      <c r="G33" s="591"/>
      <c r="H33" s="591"/>
      <c r="I33" s="591"/>
      <c r="J33" s="591"/>
      <c r="K33" s="591"/>
      <c r="L33" s="591"/>
      <c r="M33" s="591"/>
      <c r="O33" s="509"/>
    </row>
    <row r="34" spans="1:16" ht="13.5" thickBot="1" x14ac:dyDescent="0.25">
      <c r="A34" s="608">
        <f>SUM(B34:M34)</f>
        <v>100.00000000000001</v>
      </c>
      <c r="B34" s="609">
        <f>'X22.55 DOF'!B29</f>
        <v>6.2290293960106142</v>
      </c>
      <c r="C34" s="609">
        <f>'X22.55 DOF'!C29</f>
        <v>14.684589906339557</v>
      </c>
      <c r="D34" s="609">
        <f>'X22.55 DOF'!D29</f>
        <v>6.6917522528102191</v>
      </c>
      <c r="E34" s="609">
        <f>'X22.55 DOF'!E29</f>
        <v>6.4879494693807329</v>
      </c>
      <c r="F34" s="609">
        <f>'X22.55 DOF'!F29</f>
        <v>6.8642366448828485</v>
      </c>
      <c r="G34" s="609">
        <f>'X22.55 DOF'!G29</f>
        <v>8.1576109707014304</v>
      </c>
      <c r="H34" s="609">
        <f>'X22.55 DOF'!H29</f>
        <v>7.6529104820583145</v>
      </c>
      <c r="I34" s="609">
        <f>'X22.55 DOF'!I29</f>
        <v>8.4263727828973281</v>
      </c>
      <c r="J34" s="609">
        <f>'X22.55 DOF'!J29</f>
        <v>8.4819667021042857</v>
      </c>
      <c r="K34" s="609">
        <f>'X22.55 DOF'!K29</f>
        <v>10.145835064392044</v>
      </c>
      <c r="L34" s="609">
        <f>'X22.55 DOF'!L29</f>
        <v>8.0571077478903881</v>
      </c>
      <c r="M34" s="609">
        <f>'X22.55 DOF'!M29</f>
        <v>8.1206385805322387</v>
      </c>
      <c r="O34" s="509"/>
    </row>
    <row r="35" spans="1:16" ht="13.5" thickBot="1" x14ac:dyDescent="0.25">
      <c r="A35" s="592" t="s">
        <v>326</v>
      </c>
      <c r="B35" s="593" t="s">
        <v>1</v>
      </c>
      <c r="C35" s="593" t="s">
        <v>2</v>
      </c>
      <c r="D35" s="593" t="s">
        <v>3</v>
      </c>
      <c r="E35" s="593" t="s">
        <v>4</v>
      </c>
      <c r="F35" s="593" t="s">
        <v>5</v>
      </c>
      <c r="G35" s="593" t="s">
        <v>6</v>
      </c>
      <c r="H35" s="593" t="s">
        <v>7</v>
      </c>
      <c r="I35" s="593" t="s">
        <v>8</v>
      </c>
      <c r="J35" s="593" t="s">
        <v>9</v>
      </c>
      <c r="K35" s="593" t="s">
        <v>10</v>
      </c>
      <c r="L35" s="593" t="s">
        <v>11</v>
      </c>
      <c r="M35" s="593" t="s">
        <v>12</v>
      </c>
      <c r="O35" s="509"/>
    </row>
    <row r="36" spans="1:16" ht="13.5" thickBot="1" x14ac:dyDescent="0.25">
      <c r="A36" s="853">
        <v>236928883</v>
      </c>
      <c r="B36" s="610">
        <f>$A$36*B34/100</f>
        <v>14758369.769709595</v>
      </c>
      <c r="C36" s="610">
        <f t="shared" ref="C36:L36" si="10">$A$36*C34/100</f>
        <v>34792034.838221058</v>
      </c>
      <c r="D36" s="610">
        <f t="shared" si="10"/>
        <v>15854693.865710588</v>
      </c>
      <c r="E36" s="610">
        <f t="shared" si="10"/>
        <v>15371826.207408197</v>
      </c>
      <c r="F36" s="610">
        <f t="shared" si="10"/>
        <v>16263359.209197609</v>
      </c>
      <c r="G36" s="610">
        <f t="shared" si="10"/>
        <v>19327736.552368358</v>
      </c>
      <c r="H36" s="610">
        <f t="shared" si="10"/>
        <v>18131955.32213068</v>
      </c>
      <c r="I36" s="610">
        <f t="shared" si="10"/>
        <v>19964510.911934655</v>
      </c>
      <c r="J36" s="610">
        <f t="shared" si="10"/>
        <v>20096228.963727623</v>
      </c>
      <c r="K36" s="610">
        <f t="shared" si="10"/>
        <v>24038413.6890864</v>
      </c>
      <c r="L36" s="610">
        <f t="shared" si="10"/>
        <v>19089615.389183152</v>
      </c>
      <c r="M36" s="610">
        <f>$A$36*M34/100</f>
        <v>19240138.281322088</v>
      </c>
      <c r="N36" s="596">
        <f>SUM(B36)</f>
        <v>14758369.769709595</v>
      </c>
      <c r="O36" s="509">
        <f t="shared" si="2"/>
        <v>49550404.607930653</v>
      </c>
    </row>
    <row r="37" spans="1:16" ht="13.5" thickBot="1" x14ac:dyDescent="0.25">
      <c r="A37" s="600">
        <v>0.22500000000000001</v>
      </c>
      <c r="B37" s="615">
        <v>0.22500000000000001</v>
      </c>
      <c r="C37" s="615">
        <v>0.22500000000000001</v>
      </c>
      <c r="D37" s="615">
        <v>0.22500000000000001</v>
      </c>
      <c r="E37" s="615">
        <v>0.22500000000000001</v>
      </c>
      <c r="F37" s="615">
        <v>0.22500000000000001</v>
      </c>
      <c r="G37" s="615">
        <v>0.22500000000000001</v>
      </c>
      <c r="H37" s="615">
        <v>0.22500000000000001</v>
      </c>
      <c r="I37" s="615">
        <v>0.22500000000000001</v>
      </c>
      <c r="J37" s="615">
        <v>0.22500000000000001</v>
      </c>
      <c r="K37" s="615">
        <v>0.22500000000000001</v>
      </c>
      <c r="L37" s="615">
        <v>0.22500000000000001</v>
      </c>
      <c r="M37" s="615">
        <v>0.22500000000000001</v>
      </c>
      <c r="N37" s="596"/>
      <c r="O37" s="509"/>
    </row>
    <row r="38" spans="1:16" ht="13.5" thickBot="1" x14ac:dyDescent="0.25">
      <c r="A38" s="594">
        <f t="shared" ref="A38:M38" si="11">A36*A37</f>
        <v>53308998.675000004</v>
      </c>
      <c r="B38" s="603">
        <f t="shared" si="11"/>
        <v>3320633.1981846588</v>
      </c>
      <c r="C38" s="603">
        <f t="shared" si="11"/>
        <v>7828207.8385997387</v>
      </c>
      <c r="D38" s="603">
        <f t="shared" si="11"/>
        <v>3567306.1197848823</v>
      </c>
      <c r="E38" s="603">
        <f t="shared" si="11"/>
        <v>3458660.8966668444</v>
      </c>
      <c r="F38" s="603">
        <f t="shared" si="11"/>
        <v>3659255.8220694619</v>
      </c>
      <c r="G38" s="603">
        <f t="shared" si="11"/>
        <v>4348740.7242828803</v>
      </c>
      <c r="H38" s="603">
        <f t="shared" si="11"/>
        <v>4079689.9474794031</v>
      </c>
      <c r="I38" s="603">
        <f t="shared" si="11"/>
        <v>4492014.9551852979</v>
      </c>
      <c r="J38" s="603">
        <f t="shared" si="11"/>
        <v>4521651.5168387154</v>
      </c>
      <c r="K38" s="603">
        <f t="shared" si="11"/>
        <v>5408643.08004444</v>
      </c>
      <c r="L38" s="603">
        <f t="shared" si="11"/>
        <v>4295163.462566209</v>
      </c>
      <c r="M38" s="603">
        <f t="shared" si="11"/>
        <v>4329031.1132974699</v>
      </c>
      <c r="N38" s="596">
        <f>SUM(B38)</f>
        <v>3320633.1981846588</v>
      </c>
      <c r="O38" s="509">
        <f t="shared" si="2"/>
        <v>11148841.036784397</v>
      </c>
    </row>
    <row r="39" spans="1:16" x14ac:dyDescent="0.2">
      <c r="A39" s="604" t="s">
        <v>327</v>
      </c>
      <c r="B39" s="605">
        <v>1445775.3033262629</v>
      </c>
      <c r="C39" s="605">
        <v>2205753.7364722979</v>
      </c>
      <c r="D39" s="605">
        <v>1516402.197610155</v>
      </c>
      <c r="E39" s="605">
        <v>1722537.6352045152</v>
      </c>
      <c r="F39" s="605">
        <v>1641136.1151215194</v>
      </c>
      <c r="G39" s="605">
        <v>1715735.0658352086</v>
      </c>
      <c r="H39" s="605">
        <v>1743567.8248831125</v>
      </c>
      <c r="I39" s="605">
        <v>1808863.5888838039</v>
      </c>
      <c r="J39" s="605">
        <v>1749982.8978382845</v>
      </c>
      <c r="K39" s="605">
        <v>1710440.3724332915</v>
      </c>
      <c r="L39" s="605">
        <v>1671584.474964832</v>
      </c>
      <c r="M39" s="605">
        <v>1678220.787426722</v>
      </c>
      <c r="O39" s="509"/>
    </row>
    <row r="40" spans="1:16" ht="13.5" thickBot="1" x14ac:dyDescent="0.25">
      <c r="A40" s="604" t="s">
        <v>328</v>
      </c>
      <c r="B40" s="605">
        <f>B38-B39</f>
        <v>1874857.8948583959</v>
      </c>
      <c r="C40" s="605">
        <f t="shared" ref="C40:M40" si="12">C38-C39</f>
        <v>5622454.1021274403</v>
      </c>
      <c r="D40" s="605">
        <f t="shared" si="12"/>
        <v>2050903.9221747273</v>
      </c>
      <c r="E40" s="605">
        <f t="shared" si="12"/>
        <v>1736123.2614623292</v>
      </c>
      <c r="F40" s="605">
        <f t="shared" si="12"/>
        <v>2018119.7069479425</v>
      </c>
      <c r="G40" s="605">
        <f t="shared" si="12"/>
        <v>2633005.6584476717</v>
      </c>
      <c r="H40" s="605">
        <f t="shared" si="12"/>
        <v>2336122.1225962909</v>
      </c>
      <c r="I40" s="605">
        <f t="shared" si="12"/>
        <v>2683151.3663014937</v>
      </c>
      <c r="J40" s="605">
        <f t="shared" si="12"/>
        <v>2771668.6190004312</v>
      </c>
      <c r="K40" s="605">
        <f t="shared" si="12"/>
        <v>3698202.7076111482</v>
      </c>
      <c r="L40" s="605">
        <f t="shared" si="12"/>
        <v>2623578.9876013771</v>
      </c>
      <c r="M40" s="605">
        <f t="shared" si="12"/>
        <v>2650810.3258707477</v>
      </c>
      <c r="O40" s="509"/>
    </row>
    <row r="41" spans="1:16" ht="13.5" thickBot="1" x14ac:dyDescent="0.25">
      <c r="A41" s="606" t="s">
        <v>364</v>
      </c>
      <c r="B41" s="605">
        <f>B39+B40</f>
        <v>3320633.1981846588</v>
      </c>
      <c r="C41" s="605">
        <f t="shared" ref="C41:M41" si="13">C39+C40</f>
        <v>7828207.8385997377</v>
      </c>
      <c r="D41" s="605">
        <f t="shared" si="13"/>
        <v>3567306.1197848823</v>
      </c>
      <c r="E41" s="605">
        <f t="shared" si="13"/>
        <v>3458660.8966668444</v>
      </c>
      <c r="F41" s="605">
        <f t="shared" si="13"/>
        <v>3659255.8220694619</v>
      </c>
      <c r="G41" s="605">
        <f t="shared" si="13"/>
        <v>4348740.7242828803</v>
      </c>
      <c r="H41" s="605">
        <f t="shared" si="13"/>
        <v>4079689.9474794036</v>
      </c>
      <c r="I41" s="605">
        <f t="shared" si="13"/>
        <v>4492014.9551852979</v>
      </c>
      <c r="J41" s="605">
        <f t="shared" si="13"/>
        <v>4521651.5168387154</v>
      </c>
      <c r="K41" s="605">
        <f t="shared" si="13"/>
        <v>5408643.08004444</v>
      </c>
      <c r="L41" s="605">
        <f t="shared" si="13"/>
        <v>4295163.462566209</v>
      </c>
      <c r="M41" s="605">
        <f t="shared" si="13"/>
        <v>4329031.1132974699</v>
      </c>
      <c r="O41" s="509"/>
    </row>
    <row r="42" spans="1:16" x14ac:dyDescent="0.2">
      <c r="A42" s="1304" t="s">
        <v>325</v>
      </c>
      <c r="B42" s="1304"/>
      <c r="C42" s="1304"/>
      <c r="D42" s="1304"/>
      <c r="E42" s="1304"/>
      <c r="F42" s="1304"/>
      <c r="G42" s="1304"/>
      <c r="H42" s="1304"/>
      <c r="I42" s="1304"/>
      <c r="J42" s="1304"/>
      <c r="K42" s="1304"/>
      <c r="L42" s="1304"/>
      <c r="M42" s="1304"/>
      <c r="O42" s="509"/>
    </row>
    <row r="43" spans="1:16" x14ac:dyDescent="0.2">
      <c r="A43" s="1309" t="s">
        <v>413</v>
      </c>
      <c r="B43" s="1309"/>
      <c r="C43" s="1309"/>
      <c r="D43" s="1309"/>
      <c r="E43" s="1309"/>
      <c r="F43" s="1309"/>
      <c r="G43" s="1309"/>
      <c r="H43" s="1309"/>
      <c r="I43" s="1309"/>
      <c r="J43" s="1309"/>
      <c r="K43" s="1309"/>
      <c r="L43" s="1309"/>
      <c r="M43" s="1309"/>
      <c r="O43" s="509"/>
    </row>
    <row r="44" spans="1:16" x14ac:dyDescent="0.2">
      <c r="A44" s="590"/>
      <c r="B44" s="591"/>
      <c r="C44" s="591"/>
      <c r="D44" s="591"/>
      <c r="E44" s="591"/>
      <c r="F44" s="591"/>
      <c r="G44" s="591"/>
      <c r="H44" s="591"/>
      <c r="I44" s="591"/>
      <c r="J44" s="591"/>
      <c r="K44" s="591"/>
      <c r="L44" s="591"/>
      <c r="M44" s="591"/>
      <c r="O44" s="509"/>
    </row>
    <row r="45" spans="1:16" ht="13.5" thickBot="1" x14ac:dyDescent="0.25">
      <c r="A45" s="608">
        <f>SUM(B45:M45)</f>
        <v>99.999999999999986</v>
      </c>
      <c r="B45" s="609">
        <f>'X22.55 DOF'!B38</f>
        <v>8.0776748103294764</v>
      </c>
      <c r="C45" s="609">
        <f>'X22.55 DOF'!C38</f>
        <v>8.2606986991630915</v>
      </c>
      <c r="D45" s="609">
        <f>'X22.55 DOF'!D38</f>
        <v>8.1315042684919181</v>
      </c>
      <c r="E45" s="609">
        <f>'X22.55 DOF'!E38</f>
        <v>7.4794028095535952</v>
      </c>
      <c r="F45" s="609">
        <f>'X22.55 DOF'!F38</f>
        <v>8.386461109036599</v>
      </c>
      <c r="G45" s="609">
        <f>'X22.55 DOF'!G38</f>
        <v>8.2253969297942113</v>
      </c>
      <c r="H45" s="609">
        <f>'X22.55 DOF'!H38</f>
        <v>8.6585786275821235</v>
      </c>
      <c r="I45" s="609">
        <f>'X22.55 DOF'!I38</f>
        <v>8.4161243535191268</v>
      </c>
      <c r="J45" s="609">
        <f>'X22.55 DOF'!J38</f>
        <v>8.6803971300958764</v>
      </c>
      <c r="K45" s="609">
        <f>'X22.55 DOF'!K38</f>
        <v>8.7171698065217935</v>
      </c>
      <c r="L45" s="609">
        <f>'X22.55 DOF'!L38</f>
        <v>8.3067870246148221</v>
      </c>
      <c r="M45" s="609">
        <f>'X22.55 DOF'!M38</f>
        <v>8.6598044312973652</v>
      </c>
      <c r="O45" s="509"/>
    </row>
    <row r="46" spans="1:16" ht="13.5" thickBot="1" x14ac:dyDescent="0.25">
      <c r="A46" s="592" t="s">
        <v>326</v>
      </c>
      <c r="B46" s="593" t="s">
        <v>1</v>
      </c>
      <c r="C46" s="593" t="s">
        <v>2</v>
      </c>
      <c r="D46" s="593" t="s">
        <v>3</v>
      </c>
      <c r="E46" s="593" t="s">
        <v>4</v>
      </c>
      <c r="F46" s="593" t="s">
        <v>5</v>
      </c>
      <c r="G46" s="593" t="s">
        <v>6</v>
      </c>
      <c r="H46" s="593" t="s">
        <v>7</v>
      </c>
      <c r="I46" s="593" t="s">
        <v>8</v>
      </c>
      <c r="J46" s="593" t="s">
        <v>9</v>
      </c>
      <c r="K46" s="593" t="s">
        <v>10</v>
      </c>
      <c r="L46" s="593" t="s">
        <v>11</v>
      </c>
      <c r="M46" s="593" t="s">
        <v>12</v>
      </c>
      <c r="O46" s="509"/>
    </row>
    <row r="47" spans="1:16" ht="13.5" thickBot="1" x14ac:dyDescent="0.25">
      <c r="A47" s="853">
        <v>348424461</v>
      </c>
      <c r="B47" s="616">
        <f>$A$47*B45/100</f>
        <v>28144594.919223253</v>
      </c>
      <c r="C47" s="616">
        <f t="shared" ref="C47:M47" si="14">$A$47*C45/100</f>
        <v>28782294.917393014</v>
      </c>
      <c r="D47" s="616">
        <f t="shared" si="14"/>
        <v>28332149.918684959</v>
      </c>
      <c r="E47" s="616">
        <f t="shared" si="14"/>
        <v>26060068.925205968</v>
      </c>
      <c r="F47" s="616">
        <f t="shared" si="14"/>
        <v>29220481.916135393</v>
      </c>
      <c r="G47" s="616">
        <f t="shared" si="14"/>
        <v>28659294.91774603</v>
      </c>
      <c r="H47" s="616">
        <f t="shared" si="14"/>
        <v>30168605.91341421</v>
      </c>
      <c r="I47" s="616">
        <f t="shared" si="14"/>
        <v>29323835.915838752</v>
      </c>
      <c r="J47" s="616">
        <f t="shared" si="14"/>
        <v>30244626.913196024</v>
      </c>
      <c r="K47" s="616">
        <f t="shared" si="14"/>
        <v>30372751.912828304</v>
      </c>
      <c r="L47" s="616">
        <f t="shared" si="14"/>
        <v>28942877.916932128</v>
      </c>
      <c r="M47" s="616">
        <f t="shared" si="14"/>
        <v>30172876.913401961</v>
      </c>
      <c r="N47" s="596">
        <f>SUM(B47)</f>
        <v>28144594.919223253</v>
      </c>
      <c r="O47" s="509">
        <f t="shared" si="2"/>
        <v>56926889.836616263</v>
      </c>
      <c r="P47" s="509"/>
    </row>
    <row r="48" spans="1:16" ht="13.5" thickBot="1" x14ac:dyDescent="0.25">
      <c r="A48" s="600">
        <v>0.22500000000000001</v>
      </c>
      <c r="B48" s="615">
        <v>0.22500000000000001</v>
      </c>
      <c r="C48" s="615">
        <v>0.22500000000000001</v>
      </c>
      <c r="D48" s="615">
        <v>0.22500000000000001</v>
      </c>
      <c r="E48" s="615">
        <v>0.22500000000000001</v>
      </c>
      <c r="F48" s="615">
        <v>0.22500000000000001</v>
      </c>
      <c r="G48" s="615">
        <v>0.22500000000000001</v>
      </c>
      <c r="H48" s="615">
        <v>0.22500000000000001</v>
      </c>
      <c r="I48" s="615">
        <v>0.22500000000000001</v>
      </c>
      <c r="J48" s="615">
        <v>0.22500000000000001</v>
      </c>
      <c r="K48" s="615">
        <v>0.22500000000000001</v>
      </c>
      <c r="L48" s="615">
        <v>0.22500000000000001</v>
      </c>
      <c r="M48" s="615">
        <v>0.22500000000000001</v>
      </c>
      <c r="N48" s="596"/>
      <c r="O48" s="509"/>
    </row>
    <row r="49" spans="1:16" ht="13.5" thickBot="1" x14ac:dyDescent="0.25">
      <c r="A49" s="594">
        <f t="shared" ref="A49:M49" si="15">A47*A48</f>
        <v>78395503.725000009</v>
      </c>
      <c r="B49" s="603">
        <f t="shared" si="15"/>
        <v>6332533.8568252316</v>
      </c>
      <c r="C49" s="603">
        <f t="shared" si="15"/>
        <v>6476016.3564134287</v>
      </c>
      <c r="D49" s="603">
        <f t="shared" si="15"/>
        <v>6374733.7317041159</v>
      </c>
      <c r="E49" s="603">
        <f t="shared" si="15"/>
        <v>5863515.5081713432</v>
      </c>
      <c r="F49" s="603">
        <f t="shared" si="15"/>
        <v>6574608.4311304633</v>
      </c>
      <c r="G49" s="603">
        <f t="shared" si="15"/>
        <v>6448341.3564928565</v>
      </c>
      <c r="H49" s="603">
        <f t="shared" si="15"/>
        <v>6787936.3305181973</v>
      </c>
      <c r="I49" s="603">
        <f t="shared" si="15"/>
        <v>6597863.0810637195</v>
      </c>
      <c r="J49" s="603">
        <f t="shared" si="15"/>
        <v>6805041.055469105</v>
      </c>
      <c r="K49" s="603">
        <f t="shared" si="15"/>
        <v>6833869.1803863682</v>
      </c>
      <c r="L49" s="603">
        <f t="shared" si="15"/>
        <v>6512147.5313097294</v>
      </c>
      <c r="M49" s="603">
        <f t="shared" si="15"/>
        <v>6788897.3055154411</v>
      </c>
      <c r="N49" s="596">
        <f>SUM(B49)</f>
        <v>6332533.8568252316</v>
      </c>
      <c r="O49" s="509">
        <f t="shared" si="2"/>
        <v>12808550.21323866</v>
      </c>
      <c r="P49" s="509"/>
    </row>
    <row r="50" spans="1:16" x14ac:dyDescent="0.2">
      <c r="A50" s="604" t="s">
        <v>327</v>
      </c>
      <c r="B50" s="605">
        <v>2973029.93</v>
      </c>
      <c r="C50" s="605">
        <v>2991400.51</v>
      </c>
      <c r="D50" s="605">
        <v>3398867.13</v>
      </c>
      <c r="E50" s="605">
        <v>3261038.01</v>
      </c>
      <c r="F50" s="605">
        <v>3480510.59</v>
      </c>
      <c r="G50" s="605">
        <v>3343876.25</v>
      </c>
      <c r="H50" s="605">
        <v>3466561.02</v>
      </c>
      <c r="I50" s="605">
        <v>3440989.09</v>
      </c>
      <c r="J50" s="605">
        <v>3282805.89</v>
      </c>
      <c r="K50" s="605">
        <v>3455841.05</v>
      </c>
      <c r="L50" s="605">
        <v>3328385.93</v>
      </c>
      <c r="M50" s="605">
        <v>2449944.6</v>
      </c>
      <c r="O50" s="509"/>
    </row>
    <row r="51" spans="1:16" ht="13.5" thickBot="1" x14ac:dyDescent="0.25">
      <c r="A51" s="604" t="s">
        <v>328</v>
      </c>
      <c r="B51" s="605">
        <f>B49-B50</f>
        <v>3359503.9268252314</v>
      </c>
      <c r="C51" s="605">
        <f t="shared" ref="C51:M51" si="16">C49-C50</f>
        <v>3484615.8464134289</v>
      </c>
      <c r="D51" s="605">
        <f t="shared" si="16"/>
        <v>2975866.601704116</v>
      </c>
      <c r="E51" s="605">
        <f t="shared" si="16"/>
        <v>2602477.4981713435</v>
      </c>
      <c r="F51" s="605">
        <f t="shared" si="16"/>
        <v>3094097.8411304634</v>
      </c>
      <c r="G51" s="605">
        <f t="shared" si="16"/>
        <v>3104465.1064928565</v>
      </c>
      <c r="H51" s="605">
        <f t="shared" si="16"/>
        <v>3321375.3105181972</v>
      </c>
      <c r="I51" s="605">
        <f t="shared" si="16"/>
        <v>3156873.9910637196</v>
      </c>
      <c r="J51" s="605">
        <f t="shared" si="16"/>
        <v>3522235.1654691049</v>
      </c>
      <c r="K51" s="605">
        <f t="shared" si="16"/>
        <v>3378028.1303863684</v>
      </c>
      <c r="L51" s="605">
        <f t="shared" si="16"/>
        <v>3183761.6013097293</v>
      </c>
      <c r="M51" s="605">
        <f t="shared" si="16"/>
        <v>4338952.7055154406</v>
      </c>
      <c r="O51" s="509"/>
    </row>
    <row r="52" spans="1:16" ht="12.75" customHeight="1" thickBot="1" x14ac:dyDescent="0.25">
      <c r="A52" s="606" t="s">
        <v>364</v>
      </c>
      <c r="B52" s="607">
        <f>B50+B51</f>
        <v>6332533.8568252316</v>
      </c>
      <c r="C52" s="607">
        <f t="shared" ref="C52:M52" si="17">C50+C51</f>
        <v>6476016.3564134287</v>
      </c>
      <c r="D52" s="607">
        <f t="shared" si="17"/>
        <v>6374733.7317041159</v>
      </c>
      <c r="E52" s="607">
        <f t="shared" si="17"/>
        <v>5863515.5081713432</v>
      </c>
      <c r="F52" s="607">
        <f t="shared" si="17"/>
        <v>6574608.4311304633</v>
      </c>
      <c r="G52" s="607">
        <f t="shared" si="17"/>
        <v>6448341.3564928565</v>
      </c>
      <c r="H52" s="607">
        <f t="shared" si="17"/>
        <v>6787936.3305181973</v>
      </c>
      <c r="I52" s="607">
        <f t="shared" si="17"/>
        <v>6597863.0810637195</v>
      </c>
      <c r="J52" s="607">
        <f t="shared" si="17"/>
        <v>6805041.055469105</v>
      </c>
      <c r="K52" s="607">
        <f t="shared" si="17"/>
        <v>6833869.1803863682</v>
      </c>
      <c r="L52" s="607">
        <f t="shared" si="17"/>
        <v>6512147.5313097294</v>
      </c>
      <c r="M52" s="607">
        <f t="shared" si="17"/>
        <v>6788897.3055154402</v>
      </c>
      <c r="O52" s="509"/>
    </row>
    <row r="53" spans="1:16" ht="12.75" customHeight="1" x14ac:dyDescent="0.2">
      <c r="A53" s="617"/>
      <c r="O53" s="509"/>
    </row>
    <row r="54" spans="1:16" x14ac:dyDescent="0.2">
      <c r="A54" s="1304" t="s">
        <v>325</v>
      </c>
      <c r="B54" s="1304"/>
      <c r="C54" s="1304"/>
      <c r="D54" s="1304"/>
      <c r="E54" s="1304"/>
      <c r="F54" s="1304"/>
      <c r="G54" s="1304"/>
      <c r="H54" s="1304"/>
      <c r="I54" s="1304"/>
      <c r="J54" s="1304"/>
      <c r="K54" s="1304"/>
      <c r="L54" s="1304"/>
      <c r="M54" s="1304"/>
      <c r="O54" s="509"/>
    </row>
    <row r="55" spans="1:16" x14ac:dyDescent="0.2">
      <c r="A55" s="1309" t="s">
        <v>414</v>
      </c>
      <c r="B55" s="1309"/>
      <c r="C55" s="1309"/>
      <c r="D55" s="1309"/>
      <c r="E55" s="1309"/>
      <c r="F55" s="1309"/>
      <c r="G55" s="1309"/>
      <c r="H55" s="1309"/>
      <c r="I55" s="1309"/>
      <c r="J55" s="1309"/>
      <c r="K55" s="1309"/>
      <c r="L55" s="1309"/>
      <c r="M55" s="1309"/>
      <c r="O55" s="509"/>
    </row>
    <row r="56" spans="1:16" x14ac:dyDescent="0.2">
      <c r="A56" s="590"/>
      <c r="B56" s="591"/>
      <c r="C56" s="591"/>
      <c r="D56" s="591"/>
      <c r="E56" s="591"/>
      <c r="F56" s="591"/>
      <c r="G56" s="591"/>
      <c r="H56" s="591"/>
      <c r="I56" s="591"/>
      <c r="J56" s="591"/>
      <c r="K56" s="591"/>
      <c r="L56" s="591"/>
      <c r="M56" s="591"/>
      <c r="O56" s="509"/>
    </row>
    <row r="57" spans="1:16" ht="13.5" thickBot="1" x14ac:dyDescent="0.25">
      <c r="A57" s="608">
        <f>SUM(B57:M57)</f>
        <v>99.999999999999986</v>
      </c>
      <c r="B57" s="609">
        <f>'X22.55 DOF'!B47</f>
        <v>13.737259178229397</v>
      </c>
      <c r="C57" s="609">
        <f>'X22.55 DOF'!C47</f>
        <v>3.6858261862963442</v>
      </c>
      <c r="D57" s="609">
        <f>'X22.55 DOF'!D47</f>
        <v>3.6858261862963442</v>
      </c>
      <c r="E57" s="609">
        <f>'X22.55 DOF'!E47</f>
        <v>18.66890319150864</v>
      </c>
      <c r="F57" s="609">
        <f>'X22.55 DOF'!F47</f>
        <v>3.6858261862963442</v>
      </c>
      <c r="G57" s="609">
        <f>'X22.55 DOF'!G47</f>
        <v>3.6858261862963442</v>
      </c>
      <c r="H57" s="609">
        <f>'X22.55 DOF'!H47</f>
        <v>19.371719834392142</v>
      </c>
      <c r="I57" s="609">
        <f>'X22.55 DOF'!I47</f>
        <v>3.6858261862963442</v>
      </c>
      <c r="J57" s="609">
        <f>'X22.55 DOF'!J47</f>
        <v>3.6858261862963442</v>
      </c>
      <c r="K57" s="609">
        <f>'X22.55 DOF'!K47</f>
        <v>18.735508305499071</v>
      </c>
      <c r="L57" s="609">
        <f>'X22.55 DOF'!L47</f>
        <v>3.6858261862963442</v>
      </c>
      <c r="M57" s="609">
        <f>'X22.55 DOF'!M47</f>
        <v>3.6858261862963442</v>
      </c>
      <c r="O57" s="509"/>
    </row>
    <row r="58" spans="1:16" ht="13.5" thickBot="1" x14ac:dyDescent="0.25">
      <c r="A58" s="592" t="s">
        <v>326</v>
      </c>
      <c r="B58" s="593" t="s">
        <v>1</v>
      </c>
      <c r="C58" s="593" t="s">
        <v>2</v>
      </c>
      <c r="D58" s="593" t="s">
        <v>3</v>
      </c>
      <c r="E58" s="593" t="s">
        <v>4</v>
      </c>
      <c r="F58" s="593" t="s">
        <v>5</v>
      </c>
      <c r="G58" s="593" t="s">
        <v>6</v>
      </c>
      <c r="H58" s="593" t="s">
        <v>7</v>
      </c>
      <c r="I58" s="593" t="s">
        <v>8</v>
      </c>
      <c r="J58" s="593" t="s">
        <v>9</v>
      </c>
      <c r="K58" s="593" t="s">
        <v>10</v>
      </c>
      <c r="L58" s="593" t="s">
        <v>11</v>
      </c>
      <c r="M58" s="593" t="s">
        <v>12</v>
      </c>
      <c r="O58" s="509"/>
    </row>
    <row r="59" spans="1:16" ht="13.5" thickBot="1" x14ac:dyDescent="0.25">
      <c r="A59" s="853">
        <v>460935484</v>
      </c>
      <c r="B59" s="610">
        <f>$A$59*B57/100</f>
        <v>63319902.081506103</v>
      </c>
      <c r="C59" s="610">
        <f t="shared" ref="C59:M59" si="18">$A$59*C57/100</f>
        <v>16989280.771203797</v>
      </c>
      <c r="D59" s="610">
        <f t="shared" si="18"/>
        <v>16989280.771203797</v>
      </c>
      <c r="E59" s="610">
        <f t="shared" si="18"/>
        <v>86051599.28327179</v>
      </c>
      <c r="F59" s="610">
        <f t="shared" si="18"/>
        <v>16989280.771203797</v>
      </c>
      <c r="G59" s="610">
        <f t="shared" si="18"/>
        <v>16989280.771203797</v>
      </c>
      <c r="H59" s="610">
        <f t="shared" si="18"/>
        <v>89291130.577779412</v>
      </c>
      <c r="I59" s="610">
        <f t="shared" si="18"/>
        <v>16989280.771203797</v>
      </c>
      <c r="J59" s="610">
        <f t="shared" si="18"/>
        <v>16989280.771203797</v>
      </c>
      <c r="K59" s="610">
        <f t="shared" si="18"/>
        <v>86358605.887812346</v>
      </c>
      <c r="L59" s="610">
        <f t="shared" si="18"/>
        <v>16989280.771203797</v>
      </c>
      <c r="M59" s="610">
        <f t="shared" si="18"/>
        <v>16989280.771203797</v>
      </c>
      <c r="N59" s="596">
        <f>SUM(B59)</f>
        <v>63319902.081506103</v>
      </c>
      <c r="O59" s="509">
        <f t="shared" si="2"/>
        <v>80309182.852709904</v>
      </c>
    </row>
    <row r="60" spans="1:16" ht="13.5" thickBot="1" x14ac:dyDescent="0.25">
      <c r="A60" s="600">
        <v>0.22500000000000001</v>
      </c>
      <c r="B60" s="615">
        <v>0.22500000000000001</v>
      </c>
      <c r="C60" s="615">
        <v>0.22500000000000001</v>
      </c>
      <c r="D60" s="615">
        <v>0.22500000000000001</v>
      </c>
      <c r="E60" s="615">
        <v>0.22500000000000001</v>
      </c>
      <c r="F60" s="615">
        <v>0.22500000000000001</v>
      </c>
      <c r="G60" s="615">
        <v>0.22500000000000001</v>
      </c>
      <c r="H60" s="615">
        <v>0.22500000000000001</v>
      </c>
      <c r="I60" s="615">
        <v>0.22500000000000001</v>
      </c>
      <c r="J60" s="615">
        <v>0.22500000000000001</v>
      </c>
      <c r="K60" s="615">
        <v>0.22500000000000001</v>
      </c>
      <c r="L60" s="615">
        <v>0.22500000000000001</v>
      </c>
      <c r="M60" s="615">
        <v>0.22500000000000001</v>
      </c>
      <c r="N60" s="596"/>
      <c r="O60" s="509"/>
    </row>
    <row r="61" spans="1:16" ht="13.5" thickBot="1" x14ac:dyDescent="0.25">
      <c r="A61" s="594">
        <f>A59*A60</f>
        <v>103710483.90000001</v>
      </c>
      <c r="B61" s="603">
        <f t="shared" ref="B61:M61" si="19">B59*B60</f>
        <v>14246977.968338873</v>
      </c>
      <c r="C61" s="603">
        <f t="shared" si="19"/>
        <v>3822588.1735208547</v>
      </c>
      <c r="D61" s="603">
        <f t="shared" si="19"/>
        <v>3822588.1735208547</v>
      </c>
      <c r="E61" s="603">
        <f t="shared" si="19"/>
        <v>19361609.838736154</v>
      </c>
      <c r="F61" s="603">
        <f t="shared" si="19"/>
        <v>3822588.1735208547</v>
      </c>
      <c r="G61" s="603">
        <f t="shared" si="19"/>
        <v>3822588.1735208547</v>
      </c>
      <c r="H61" s="603">
        <f t="shared" si="19"/>
        <v>20090504.380000368</v>
      </c>
      <c r="I61" s="603">
        <f t="shared" si="19"/>
        <v>3822588.1735208547</v>
      </c>
      <c r="J61" s="603">
        <f t="shared" si="19"/>
        <v>3822588.1735208547</v>
      </c>
      <c r="K61" s="603">
        <f t="shared" si="19"/>
        <v>19430686.324757777</v>
      </c>
      <c r="L61" s="603">
        <f t="shared" si="19"/>
        <v>3822588.1735208547</v>
      </c>
      <c r="M61" s="603">
        <f t="shared" si="19"/>
        <v>3822588.1735208547</v>
      </c>
      <c r="N61" s="596">
        <f>SUM(B61)</f>
        <v>14246977.968338873</v>
      </c>
      <c r="O61" s="509">
        <f t="shared" si="2"/>
        <v>18069566.141859729</v>
      </c>
    </row>
    <row r="62" spans="1:16" x14ac:dyDescent="0.2">
      <c r="A62" s="604" t="s">
        <v>327</v>
      </c>
      <c r="B62" s="605">
        <v>4226222.5351250712</v>
      </c>
      <c r="C62" s="605">
        <v>3292135.8090934348</v>
      </c>
      <c r="D62" s="605">
        <v>3292135.8090934348</v>
      </c>
      <c r="E62" s="605">
        <v>4973806.6755524464</v>
      </c>
      <c r="F62" s="605">
        <v>3292135.8090934348</v>
      </c>
      <c r="G62" s="605">
        <v>3292135.8090934348</v>
      </c>
      <c r="H62" s="605">
        <v>4182016.5370987086</v>
      </c>
      <c r="I62" s="605">
        <v>3292135.8090934353</v>
      </c>
      <c r="J62" s="605">
        <v>3292135.8090934353</v>
      </c>
      <c r="K62" s="605">
        <v>4360392.779476299</v>
      </c>
      <c r="L62" s="605">
        <v>3292135.8090934358</v>
      </c>
      <c r="M62" s="605">
        <v>3292135.8090934358</v>
      </c>
      <c r="O62" s="509"/>
    </row>
    <row r="63" spans="1:16" ht="13.5" thickBot="1" x14ac:dyDescent="0.25">
      <c r="A63" s="604" t="s">
        <v>328</v>
      </c>
      <c r="B63" s="605">
        <f>B61-B62</f>
        <v>10020755.433213802</v>
      </c>
      <c r="C63" s="605">
        <f t="shared" ref="C63:M63" si="20">C61-C62</f>
        <v>530452.36442741985</v>
      </c>
      <c r="D63" s="605">
        <f t="shared" si="20"/>
        <v>530452.36442741985</v>
      </c>
      <c r="E63" s="605">
        <f t="shared" si="20"/>
        <v>14387803.163183708</v>
      </c>
      <c r="F63" s="605">
        <f t="shared" si="20"/>
        <v>530452.36442741985</v>
      </c>
      <c r="G63" s="605">
        <f t="shared" si="20"/>
        <v>530452.36442741985</v>
      </c>
      <c r="H63" s="605">
        <f t="shared" si="20"/>
        <v>15908487.842901658</v>
      </c>
      <c r="I63" s="605">
        <f t="shared" si="20"/>
        <v>530452.36442741938</v>
      </c>
      <c r="J63" s="605">
        <f t="shared" si="20"/>
        <v>530452.36442741938</v>
      </c>
      <c r="K63" s="605">
        <f t="shared" si="20"/>
        <v>15070293.545281477</v>
      </c>
      <c r="L63" s="605">
        <f t="shared" si="20"/>
        <v>530452.36442741891</v>
      </c>
      <c r="M63" s="605">
        <f t="shared" si="20"/>
        <v>530452.36442741891</v>
      </c>
      <c r="O63" s="509"/>
    </row>
    <row r="64" spans="1:16" ht="13.5" thickBot="1" x14ac:dyDescent="0.25">
      <c r="A64" s="606" t="s">
        <v>364</v>
      </c>
      <c r="B64" s="607">
        <f>B62+B63</f>
        <v>14246977.968338873</v>
      </c>
      <c r="C64" s="607">
        <f t="shared" ref="C64:M64" si="21">C62+C63</f>
        <v>3822588.1735208547</v>
      </c>
      <c r="D64" s="607">
        <f t="shared" si="21"/>
        <v>3822588.1735208547</v>
      </c>
      <c r="E64" s="607">
        <f t="shared" si="21"/>
        <v>19361609.838736154</v>
      </c>
      <c r="F64" s="607">
        <f t="shared" si="21"/>
        <v>3822588.1735208547</v>
      </c>
      <c r="G64" s="607">
        <f t="shared" si="21"/>
        <v>3822588.1735208547</v>
      </c>
      <c r="H64" s="607">
        <f t="shared" si="21"/>
        <v>20090504.380000368</v>
      </c>
      <c r="I64" s="607">
        <f t="shared" si="21"/>
        <v>3822588.1735208547</v>
      </c>
      <c r="J64" s="607">
        <f t="shared" si="21"/>
        <v>3822588.1735208547</v>
      </c>
      <c r="K64" s="607">
        <f t="shared" si="21"/>
        <v>19430686.324757777</v>
      </c>
      <c r="L64" s="607">
        <f t="shared" si="21"/>
        <v>3822588.1735208547</v>
      </c>
      <c r="M64" s="607">
        <f t="shared" si="21"/>
        <v>3822588.1735208547</v>
      </c>
      <c r="O64" s="509"/>
    </row>
    <row r="65" spans="1:15" x14ac:dyDescent="0.2">
      <c r="A65" s="617"/>
      <c r="O65" s="509"/>
    </row>
    <row r="66" spans="1:15" x14ac:dyDescent="0.2">
      <c r="A66" s="1304" t="s">
        <v>325</v>
      </c>
      <c r="B66" s="1304"/>
      <c r="C66" s="1304"/>
      <c r="D66" s="1304"/>
      <c r="E66" s="1304"/>
      <c r="F66" s="1304"/>
      <c r="G66" s="1304"/>
      <c r="H66" s="1304"/>
      <c r="I66" s="1304"/>
      <c r="J66" s="1304"/>
      <c r="K66" s="1304"/>
      <c r="L66" s="1304"/>
      <c r="M66" s="1304"/>
      <c r="O66" s="509"/>
    </row>
    <row r="67" spans="1:15" x14ac:dyDescent="0.2">
      <c r="A67" s="1309" t="s">
        <v>415</v>
      </c>
      <c r="B67" s="1309"/>
      <c r="C67" s="1309"/>
      <c r="D67" s="1309"/>
      <c r="E67" s="1309"/>
      <c r="F67" s="1309"/>
      <c r="G67" s="1309"/>
      <c r="H67" s="1309"/>
      <c r="I67" s="1309"/>
      <c r="J67" s="1309"/>
      <c r="K67" s="1309"/>
      <c r="L67" s="1309"/>
      <c r="M67" s="1309"/>
      <c r="O67" s="509"/>
    </row>
    <row r="68" spans="1:15" x14ac:dyDescent="0.2">
      <c r="A68" s="590"/>
      <c r="B68" s="591"/>
      <c r="C68" s="591"/>
      <c r="D68" s="591"/>
      <c r="E68" s="591"/>
      <c r="F68" s="591"/>
      <c r="G68" s="591"/>
      <c r="H68" s="591"/>
      <c r="I68" s="591"/>
      <c r="J68" s="591"/>
      <c r="K68" s="591"/>
      <c r="L68" s="591"/>
      <c r="M68" s="591"/>
      <c r="O68" s="509"/>
    </row>
    <row r="69" spans="1:15" ht="13.5" thickBot="1" x14ac:dyDescent="0.25">
      <c r="A69" s="608">
        <f>SUM(B69:M69)</f>
        <v>100</v>
      </c>
      <c r="B69" s="609">
        <v>10.705261681512797</v>
      </c>
      <c r="C69" s="609">
        <v>7.5492002188147573</v>
      </c>
      <c r="D69" s="609">
        <v>7.8299417808187322</v>
      </c>
      <c r="E69" s="609">
        <v>7.336126119688835</v>
      </c>
      <c r="F69" s="609">
        <v>8.3291811254250145</v>
      </c>
      <c r="G69" s="609">
        <v>8.1778338752684423</v>
      </c>
      <c r="H69" s="609">
        <v>8.3813519772097838</v>
      </c>
      <c r="I69" s="609">
        <v>8.1835157631484581</v>
      </c>
      <c r="J69" s="609">
        <v>8.5701487767688089</v>
      </c>
      <c r="K69" s="609">
        <v>8.5316662358768163</v>
      </c>
      <c r="L69" s="609">
        <v>8.0517972639183455</v>
      </c>
      <c r="M69" s="609">
        <v>8.3539751815492096</v>
      </c>
      <c r="O69" s="509"/>
    </row>
    <row r="70" spans="1:15" ht="13.5" thickBot="1" x14ac:dyDescent="0.25">
      <c r="A70" s="592" t="s">
        <v>326</v>
      </c>
      <c r="B70" s="593" t="s">
        <v>1</v>
      </c>
      <c r="C70" s="593" t="s">
        <v>2</v>
      </c>
      <c r="D70" s="593" t="s">
        <v>3</v>
      </c>
      <c r="E70" s="593" t="s">
        <v>4</v>
      </c>
      <c r="F70" s="593" t="s">
        <v>5</v>
      </c>
      <c r="G70" s="593" t="s">
        <v>6</v>
      </c>
      <c r="H70" s="593" t="s">
        <v>7</v>
      </c>
      <c r="I70" s="593" t="s">
        <v>8</v>
      </c>
      <c r="J70" s="593" t="s">
        <v>9</v>
      </c>
      <c r="K70" s="593" t="s">
        <v>10</v>
      </c>
      <c r="L70" s="593" t="s">
        <v>11</v>
      </c>
      <c r="M70" s="593" t="s">
        <v>12</v>
      </c>
      <c r="O70" s="509"/>
    </row>
    <row r="71" spans="1:15" ht="13.5" thickBot="1" x14ac:dyDescent="0.25">
      <c r="A71" s="594">
        <v>305850079</v>
      </c>
      <c r="B71" s="619">
        <f>$A$71*B69/100</f>
        <v>32742051.310063615</v>
      </c>
      <c r="C71" s="619">
        <f t="shared" ref="C71:M71" si="22">$A$71*C69/100</f>
        <v>23089234.833113108</v>
      </c>
      <c r="D71" s="619">
        <f t="shared" si="22"/>
        <v>23947883.122288097</v>
      </c>
      <c r="E71" s="619">
        <f t="shared" si="22"/>
        <v>22437547.532607935</v>
      </c>
      <c r="F71" s="619">
        <f t="shared" si="22"/>
        <v>25474807.052165493</v>
      </c>
      <c r="G71" s="619">
        <f t="shared" si="22"/>
        <v>25011911.367997292</v>
      </c>
      <c r="H71" s="619">
        <f t="shared" si="22"/>
        <v>25634371.643564187</v>
      </c>
      <c r="I71" s="619">
        <f t="shared" si="22"/>
        <v>25029289.426567011</v>
      </c>
      <c r="J71" s="619">
        <f t="shared" si="22"/>
        <v>26211806.804164935</v>
      </c>
      <c r="K71" s="619">
        <f t="shared" si="22"/>
        <v>26094107.922445569</v>
      </c>
      <c r="L71" s="619">
        <f t="shared" si="22"/>
        <v>24626428.292614099</v>
      </c>
      <c r="M71" s="619">
        <f t="shared" si="22"/>
        <v>25550639.692408651</v>
      </c>
      <c r="N71" s="596">
        <f>SUM(B71)</f>
        <v>32742051.310063615</v>
      </c>
      <c r="O71" s="509">
        <f t="shared" si="2"/>
        <v>55831286.14317672</v>
      </c>
    </row>
    <row r="72" spans="1:15" ht="13.5" thickBot="1" x14ac:dyDescent="0.25">
      <c r="A72" s="600">
        <v>0.22500000000000001</v>
      </c>
      <c r="B72" s="615">
        <v>0.22500000000000001</v>
      </c>
      <c r="C72" s="615">
        <v>0.22500000000000001</v>
      </c>
      <c r="D72" s="615">
        <v>0.22500000000000001</v>
      </c>
      <c r="E72" s="615">
        <v>0.22500000000000001</v>
      </c>
      <c r="F72" s="615">
        <v>0.22500000000000001</v>
      </c>
      <c r="G72" s="615">
        <v>0.22500000000000001</v>
      </c>
      <c r="H72" s="615">
        <v>0.22500000000000001</v>
      </c>
      <c r="I72" s="615">
        <v>0.22500000000000001</v>
      </c>
      <c r="J72" s="615">
        <v>0.22500000000000001</v>
      </c>
      <c r="K72" s="615">
        <v>0.22500000000000001</v>
      </c>
      <c r="L72" s="615">
        <v>0.22500000000000001</v>
      </c>
      <c r="M72" s="615">
        <v>0.22500000000000001</v>
      </c>
      <c r="N72" s="596"/>
      <c r="O72" s="509"/>
    </row>
    <row r="73" spans="1:15" ht="13.5" thickBot="1" x14ac:dyDescent="0.25">
      <c r="A73" s="594">
        <f>A71*A72</f>
        <v>68816267.775000006</v>
      </c>
      <c r="B73" s="603">
        <f t="shared" ref="B73:H73" si="23">B71*B72</f>
        <v>7366961.5447643138</v>
      </c>
      <c r="C73" s="603">
        <f t="shared" si="23"/>
        <v>5195077.8374504494</v>
      </c>
      <c r="D73" s="603">
        <f t="shared" si="23"/>
        <v>5388273.7025148217</v>
      </c>
      <c r="E73" s="603">
        <f t="shared" si="23"/>
        <v>5048448.194836786</v>
      </c>
      <c r="F73" s="603">
        <f t="shared" si="23"/>
        <v>5731831.586737236</v>
      </c>
      <c r="G73" s="603">
        <f t="shared" si="23"/>
        <v>5627680.0577993905</v>
      </c>
      <c r="H73" s="603">
        <f t="shared" si="23"/>
        <v>5767733.6198019423</v>
      </c>
      <c r="I73" s="603">
        <f>I71*I72</f>
        <v>5631590.1209775778</v>
      </c>
      <c r="J73" s="603">
        <f>J71*J72</f>
        <v>5897656.5309371101</v>
      </c>
      <c r="K73" s="603">
        <f>K71*K72</f>
        <v>5871174.282550253</v>
      </c>
      <c r="L73" s="603">
        <f>L71*L72</f>
        <v>5540946.3658381719</v>
      </c>
      <c r="M73" s="603">
        <f>M71*M72</f>
        <v>5748893.9307919471</v>
      </c>
      <c r="N73" s="596">
        <f>SUM(B73)</f>
        <v>7366961.5447643138</v>
      </c>
      <c r="O73" s="509">
        <f t="shared" si="2"/>
        <v>12562039.382214762</v>
      </c>
    </row>
    <row r="74" spans="1:15" x14ac:dyDescent="0.2">
      <c r="A74" s="604" t="s">
        <v>327</v>
      </c>
      <c r="B74" s="605">
        <v>5804455.2000000002</v>
      </c>
      <c r="C74" s="605">
        <v>5840320.9900000002</v>
      </c>
      <c r="D74" s="605">
        <v>6635846.9900000002</v>
      </c>
      <c r="E74" s="605">
        <v>6366753.5199999996</v>
      </c>
      <c r="F74" s="605">
        <v>6795245.21</v>
      </c>
      <c r="G74" s="605">
        <v>6528484.1100000003</v>
      </c>
      <c r="H74" s="605">
        <v>6768010.4000000004</v>
      </c>
      <c r="I74" s="605">
        <v>6718084.6799999997</v>
      </c>
      <c r="J74" s="605">
        <v>6409252.2000000002</v>
      </c>
      <c r="K74" s="605">
        <v>6747081.1699999999</v>
      </c>
      <c r="L74" s="605">
        <v>6498241.7000000002</v>
      </c>
      <c r="M74" s="605">
        <v>4783198.82</v>
      </c>
      <c r="O74" s="509"/>
    </row>
    <row r="75" spans="1:15" ht="13.5" thickBot="1" x14ac:dyDescent="0.25">
      <c r="A75" s="604" t="s">
        <v>328</v>
      </c>
      <c r="B75" s="605">
        <f>B73-B74</f>
        <v>1562506.3447643137</v>
      </c>
      <c r="C75" s="605">
        <f t="shared" ref="C75:M75" si="24">C73-C74</f>
        <v>-645243.15254955087</v>
      </c>
      <c r="D75" s="605">
        <f t="shared" si="24"/>
        <v>-1247573.2874851786</v>
      </c>
      <c r="E75" s="605">
        <f t="shared" si="24"/>
        <v>-1318305.3251632135</v>
      </c>
      <c r="F75" s="605">
        <f t="shared" si="24"/>
        <v>-1063413.623262764</v>
      </c>
      <c r="G75" s="605">
        <f t="shared" si="24"/>
        <v>-900804.05220060982</v>
      </c>
      <c r="H75" s="605">
        <f t="shared" si="24"/>
        <v>-1000276.7801980581</v>
      </c>
      <c r="I75" s="605">
        <f t="shared" si="24"/>
        <v>-1086494.5590224219</v>
      </c>
      <c r="J75" s="605">
        <f t="shared" si="24"/>
        <v>-511595.66906289011</v>
      </c>
      <c r="K75" s="605">
        <f t="shared" si="24"/>
        <v>-875906.88744974695</v>
      </c>
      <c r="L75" s="605">
        <f t="shared" si="24"/>
        <v>-957295.33416182827</v>
      </c>
      <c r="M75" s="605">
        <f t="shared" si="24"/>
        <v>965695.11079194676</v>
      </c>
      <c r="O75" s="509"/>
    </row>
    <row r="76" spans="1:15" ht="13.5" thickBot="1" x14ac:dyDescent="0.25">
      <c r="A76" s="606" t="s">
        <v>364</v>
      </c>
      <c r="B76" s="607">
        <f>B74+B75</f>
        <v>7366961.5447643138</v>
      </c>
      <c r="C76" s="607">
        <f t="shared" ref="C76:M76" si="25">C74+C75</f>
        <v>5195077.8374504494</v>
      </c>
      <c r="D76" s="607">
        <f t="shared" si="25"/>
        <v>5388273.7025148217</v>
      </c>
      <c r="E76" s="607">
        <f t="shared" si="25"/>
        <v>5048448.194836786</v>
      </c>
      <c r="F76" s="607">
        <f t="shared" si="25"/>
        <v>5731831.586737236</v>
      </c>
      <c r="G76" s="607">
        <f t="shared" si="25"/>
        <v>5627680.0577993905</v>
      </c>
      <c r="H76" s="607">
        <f t="shared" si="25"/>
        <v>5767733.6198019423</v>
      </c>
      <c r="I76" s="607">
        <f t="shared" si="25"/>
        <v>5631590.1209775778</v>
      </c>
      <c r="J76" s="607">
        <f t="shared" si="25"/>
        <v>5897656.5309371101</v>
      </c>
      <c r="K76" s="607">
        <f t="shared" si="25"/>
        <v>5871174.282550253</v>
      </c>
      <c r="L76" s="607">
        <f t="shared" si="25"/>
        <v>5540946.3658381719</v>
      </c>
      <c r="M76" s="607">
        <f t="shared" si="25"/>
        <v>5748893.9307919471</v>
      </c>
      <c r="O76" s="509"/>
    </row>
    <row r="77" spans="1:15" x14ac:dyDescent="0.2">
      <c r="A77" s="617"/>
      <c r="O77" s="509"/>
    </row>
    <row r="78" spans="1:15" x14ac:dyDescent="0.2">
      <c r="A78" s="1304" t="s">
        <v>325</v>
      </c>
      <c r="B78" s="1304"/>
      <c r="C78" s="1304"/>
      <c r="D78" s="1304"/>
      <c r="E78" s="1304"/>
      <c r="F78" s="1304"/>
      <c r="G78" s="1304"/>
      <c r="H78" s="1304"/>
      <c r="I78" s="1304"/>
      <c r="J78" s="1304"/>
      <c r="K78" s="1304"/>
      <c r="L78" s="1304"/>
      <c r="M78" s="1304"/>
      <c r="O78" s="509"/>
    </row>
    <row r="79" spans="1:15" x14ac:dyDescent="0.2">
      <c r="A79" s="1309" t="s">
        <v>416</v>
      </c>
      <c r="B79" s="1309"/>
      <c r="C79" s="1309"/>
      <c r="D79" s="1309"/>
      <c r="E79" s="1309"/>
      <c r="F79" s="1309"/>
      <c r="G79" s="1309"/>
      <c r="H79" s="1309"/>
      <c r="I79" s="1309"/>
      <c r="J79" s="1309"/>
      <c r="K79" s="1309"/>
      <c r="L79" s="1309"/>
      <c r="M79" s="1309"/>
      <c r="O79" s="509"/>
    </row>
    <row r="80" spans="1:15" x14ac:dyDescent="0.2">
      <c r="A80" s="590"/>
      <c r="B80" s="591"/>
      <c r="C80" s="591"/>
      <c r="D80" s="591"/>
      <c r="E80" s="591"/>
      <c r="F80" s="591"/>
      <c r="G80" s="591"/>
      <c r="H80" s="591"/>
      <c r="I80" s="591"/>
      <c r="J80" s="591"/>
      <c r="K80" s="591"/>
      <c r="L80" s="591"/>
      <c r="M80" s="591"/>
      <c r="O80" s="509"/>
    </row>
    <row r="81" spans="1:15" ht="13.5" thickBot="1" x14ac:dyDescent="0.25">
      <c r="A81" s="608">
        <f>SUM(B81:M81)</f>
        <v>99.999999999999986</v>
      </c>
      <c r="B81" s="609">
        <f>'X22.55 DOF'!B65</f>
        <v>9.1338647284834291</v>
      </c>
      <c r="C81" s="609">
        <f>'X22.55 DOF'!C65</f>
        <v>9.7243068434936735</v>
      </c>
      <c r="D81" s="609">
        <f>'X22.55 DOF'!D65</f>
        <v>8.4149001278203652</v>
      </c>
      <c r="E81" s="609">
        <f>'X22.55 DOF'!E65</f>
        <v>7.8142593670630687</v>
      </c>
      <c r="F81" s="609">
        <f>'X22.55 DOF'!F65</f>
        <v>8.422835467194826</v>
      </c>
      <c r="G81" s="609">
        <f>'X22.55 DOF'!G65</f>
        <v>7.4011013243302202</v>
      </c>
      <c r="H81" s="609">
        <f>'X22.55 DOF'!H65</f>
        <v>7.8420344315807231</v>
      </c>
      <c r="I81" s="609">
        <f>'X22.55 DOF'!I65</f>
        <v>8.0116626360126322</v>
      </c>
      <c r="J81" s="609">
        <f>'X22.55 DOF'!J65</f>
        <v>8.1237554998585768</v>
      </c>
      <c r="K81" s="609">
        <f>'X22.55 DOF'!K65</f>
        <v>8.0191023608529513</v>
      </c>
      <c r="L81" s="609">
        <f>'X22.55 DOF'!L65</f>
        <v>8.1807938492033578</v>
      </c>
      <c r="M81" s="609">
        <f>'X22.55 DOF'!M65</f>
        <v>8.911383364106177</v>
      </c>
      <c r="O81" s="509"/>
    </row>
    <row r="82" spans="1:15" ht="13.5" thickBot="1" x14ac:dyDescent="0.25">
      <c r="A82" s="592" t="s">
        <v>326</v>
      </c>
      <c r="B82" s="593" t="s">
        <v>1</v>
      </c>
      <c r="C82" s="593" t="s">
        <v>2</v>
      </c>
      <c r="D82" s="593" t="s">
        <v>3</v>
      </c>
      <c r="E82" s="593" t="s">
        <v>4</v>
      </c>
      <c r="F82" s="593" t="s">
        <v>5</v>
      </c>
      <c r="G82" s="593" t="s">
        <v>6</v>
      </c>
      <c r="H82" s="593" t="s">
        <v>7</v>
      </c>
      <c r="I82" s="593" t="s">
        <v>8</v>
      </c>
      <c r="J82" s="593" t="s">
        <v>9</v>
      </c>
      <c r="K82" s="593" t="s">
        <v>10</v>
      </c>
      <c r="L82" s="593" t="s">
        <v>11</v>
      </c>
      <c r="M82" s="593" t="s">
        <v>12</v>
      </c>
      <c r="O82" s="509"/>
    </row>
    <row r="83" spans="1:15" ht="13.5" thickBot="1" x14ac:dyDescent="0.25">
      <c r="A83" s="851">
        <v>72637096</v>
      </c>
      <c r="B83" s="620">
        <f>$A$83*B81/100</f>
        <v>6634574.0913386475</v>
      </c>
      <c r="C83" s="620">
        <f t="shared" ref="C83:M83" si="26">$A$83*C81/100</f>
        <v>7063454.0972430697</v>
      </c>
      <c r="D83" s="620">
        <f t="shared" si="26"/>
        <v>6112339.0841490021</v>
      </c>
      <c r="E83" s="620">
        <f t="shared" si="26"/>
        <v>5676051.0781425945</v>
      </c>
      <c r="F83" s="620">
        <f t="shared" si="26"/>
        <v>6118103.0842283545</v>
      </c>
      <c r="G83" s="620">
        <f t="shared" si="26"/>
        <v>5375945.0740110138</v>
      </c>
      <c r="H83" s="620">
        <f t="shared" si="26"/>
        <v>5696226.0784203447</v>
      </c>
      <c r="I83" s="620">
        <f t="shared" si="26"/>
        <v>5819439.0801166259</v>
      </c>
      <c r="J83" s="620">
        <f t="shared" si="26"/>
        <v>5900860.0812375546</v>
      </c>
      <c r="K83" s="620">
        <f t="shared" si="26"/>
        <v>5824843.0801910246</v>
      </c>
      <c r="L83" s="620">
        <f t="shared" si="26"/>
        <v>5942291.0818079384</v>
      </c>
      <c r="M83" s="620">
        <f t="shared" si="26"/>
        <v>6472970.0891138343</v>
      </c>
      <c r="N83" s="509">
        <f>SUM(B83)</f>
        <v>6634574.0913386475</v>
      </c>
      <c r="O83" s="509">
        <f t="shared" ref="O83:O85" si="27">SUM(B83:C83)</f>
        <v>13698028.188581716</v>
      </c>
    </row>
    <row r="84" spans="1:15" ht="13.5" thickBot="1" x14ac:dyDescent="0.25">
      <c r="A84" s="600">
        <v>0.22500000000000001</v>
      </c>
      <c r="B84" s="615">
        <v>0.22500000000000001</v>
      </c>
      <c r="C84" s="615">
        <v>0.22500000000000001</v>
      </c>
      <c r="D84" s="615">
        <v>0.22500000000000001</v>
      </c>
      <c r="E84" s="615">
        <v>0.22500000000000001</v>
      </c>
      <c r="F84" s="615">
        <v>0.22500000000000001</v>
      </c>
      <c r="G84" s="615">
        <v>0.22500000000000001</v>
      </c>
      <c r="H84" s="615">
        <v>0.22500000000000001</v>
      </c>
      <c r="I84" s="615">
        <v>0.22500000000000001</v>
      </c>
      <c r="J84" s="615">
        <v>0.22500000000000001</v>
      </c>
      <c r="K84" s="615">
        <v>0.22500000000000001</v>
      </c>
      <c r="L84" s="615">
        <v>0.22500000000000001</v>
      </c>
      <c r="M84" s="615">
        <v>0.22500000000000001</v>
      </c>
      <c r="N84" s="509"/>
      <c r="O84" s="509"/>
    </row>
    <row r="85" spans="1:15" ht="13.5" thickBot="1" x14ac:dyDescent="0.25">
      <c r="A85" s="594">
        <f t="shared" ref="A85:M85" si="28">A83*A84</f>
        <v>16343346.6</v>
      </c>
      <c r="B85" s="603">
        <f t="shared" si="28"/>
        <v>1492779.1705511957</v>
      </c>
      <c r="C85" s="603">
        <f t="shared" si="28"/>
        <v>1589277.1718796906</v>
      </c>
      <c r="D85" s="603">
        <f t="shared" si="28"/>
        <v>1375276.2939335254</v>
      </c>
      <c r="E85" s="603">
        <f t="shared" si="28"/>
        <v>1277111.4925820839</v>
      </c>
      <c r="F85" s="603">
        <f t="shared" si="28"/>
        <v>1376573.1939513797</v>
      </c>
      <c r="G85" s="603">
        <f t="shared" si="28"/>
        <v>1209587.6416524781</v>
      </c>
      <c r="H85" s="603">
        <f t="shared" si="28"/>
        <v>1281650.8676445775</v>
      </c>
      <c r="I85" s="603">
        <f t="shared" si="28"/>
        <v>1309373.7930262408</v>
      </c>
      <c r="J85" s="603">
        <f t="shared" si="28"/>
        <v>1327693.5182784498</v>
      </c>
      <c r="K85" s="603">
        <f t="shared" si="28"/>
        <v>1310589.6930429805</v>
      </c>
      <c r="L85" s="603">
        <f t="shared" si="28"/>
        <v>1337015.4934067861</v>
      </c>
      <c r="M85" s="603">
        <f t="shared" si="28"/>
        <v>1456418.2700506127</v>
      </c>
      <c r="N85" s="509">
        <f>SUM(B85)</f>
        <v>1492779.1705511957</v>
      </c>
      <c r="O85" s="509">
        <f t="shared" si="27"/>
        <v>3082056.3424308863</v>
      </c>
    </row>
    <row r="86" spans="1:15" x14ac:dyDescent="0.2">
      <c r="A86" s="604" t="s">
        <v>327</v>
      </c>
      <c r="B86" s="605">
        <v>630182.47499999998</v>
      </c>
      <c r="C86" s="605">
        <v>453572.32500000001</v>
      </c>
      <c r="D86" s="605">
        <v>421343.77500000002</v>
      </c>
      <c r="E86" s="605">
        <v>466421.4</v>
      </c>
      <c r="F86" s="605">
        <v>407954.92499999999</v>
      </c>
      <c r="G86" s="605">
        <v>436274.32500000001</v>
      </c>
      <c r="H86" s="605">
        <v>435245.4</v>
      </c>
      <c r="I86" s="605">
        <v>416192.625</v>
      </c>
      <c r="J86" s="605">
        <v>432105.07500000001</v>
      </c>
      <c r="K86" s="605">
        <v>412083.67499999999</v>
      </c>
      <c r="L86" s="605">
        <v>462016.125</v>
      </c>
      <c r="M86" s="605">
        <v>503765.77500000002</v>
      </c>
      <c r="N86" s="509"/>
    </row>
    <row r="87" spans="1:15" ht="13.5" thickBot="1" x14ac:dyDescent="0.25">
      <c r="A87" s="604" t="s">
        <v>328</v>
      </c>
      <c r="B87" s="605">
        <f>B85-B86</f>
        <v>862596.69555119576</v>
      </c>
      <c r="C87" s="605">
        <f t="shared" ref="C87:M87" si="29">C85-C86</f>
        <v>1135704.8468796907</v>
      </c>
      <c r="D87" s="605">
        <f t="shared" si="29"/>
        <v>953932.51893352543</v>
      </c>
      <c r="E87" s="605">
        <f t="shared" si="29"/>
        <v>810690.09258208389</v>
      </c>
      <c r="F87" s="605">
        <f t="shared" si="29"/>
        <v>968618.26895137969</v>
      </c>
      <c r="G87" s="605">
        <f t="shared" si="29"/>
        <v>773313.31665247818</v>
      </c>
      <c r="H87" s="605">
        <f t="shared" si="29"/>
        <v>846405.4676445775</v>
      </c>
      <c r="I87" s="605">
        <f t="shared" si="29"/>
        <v>893181.16802624078</v>
      </c>
      <c r="J87" s="605">
        <f t="shared" si="29"/>
        <v>895588.44327844982</v>
      </c>
      <c r="K87" s="605">
        <f t="shared" si="29"/>
        <v>898506.01804298046</v>
      </c>
      <c r="L87" s="605">
        <f t="shared" si="29"/>
        <v>874999.36840678612</v>
      </c>
      <c r="M87" s="605">
        <f t="shared" si="29"/>
        <v>952652.49505061272</v>
      </c>
    </row>
    <row r="88" spans="1:15" ht="13.5" thickBot="1" x14ac:dyDescent="0.25">
      <c r="A88" s="606" t="s">
        <v>364</v>
      </c>
      <c r="B88" s="607">
        <f>B86+B87</f>
        <v>1492779.1705511957</v>
      </c>
      <c r="C88" s="607">
        <f t="shared" ref="C88:M88" si="30">C86+C87</f>
        <v>1589277.1718796906</v>
      </c>
      <c r="D88" s="607">
        <f t="shared" si="30"/>
        <v>1375276.2939335254</v>
      </c>
      <c r="E88" s="607">
        <f t="shared" si="30"/>
        <v>1277111.4925820839</v>
      </c>
      <c r="F88" s="607">
        <f t="shared" si="30"/>
        <v>1376573.1939513797</v>
      </c>
      <c r="G88" s="607">
        <f t="shared" si="30"/>
        <v>1209587.6416524781</v>
      </c>
      <c r="H88" s="607">
        <f t="shared" si="30"/>
        <v>1281650.8676445775</v>
      </c>
      <c r="I88" s="607">
        <f t="shared" si="30"/>
        <v>1309373.7930262408</v>
      </c>
      <c r="J88" s="607">
        <f t="shared" si="30"/>
        <v>1327693.5182784498</v>
      </c>
      <c r="K88" s="607">
        <f t="shared" si="30"/>
        <v>1310589.6930429805</v>
      </c>
      <c r="L88" s="607">
        <f t="shared" si="30"/>
        <v>1337015.4934067861</v>
      </c>
      <c r="M88" s="607">
        <f t="shared" si="30"/>
        <v>1456418.2700506127</v>
      </c>
    </row>
    <row r="89" spans="1:15" x14ac:dyDescent="0.2">
      <c r="A89" s="617"/>
    </row>
    <row r="90" spans="1:15" x14ac:dyDescent="0.2">
      <c r="A90" s="1304" t="s">
        <v>325</v>
      </c>
      <c r="B90" s="1304"/>
      <c r="C90" s="1304"/>
      <c r="D90" s="1304"/>
      <c r="E90" s="1304"/>
      <c r="F90" s="1304"/>
      <c r="G90" s="1304"/>
      <c r="H90" s="1304"/>
      <c r="I90" s="1304"/>
      <c r="J90" s="1304"/>
      <c r="K90" s="1304"/>
      <c r="L90" s="1304"/>
      <c r="M90" s="1304"/>
    </row>
    <row r="91" spans="1:15" x14ac:dyDescent="0.2">
      <c r="A91" s="1309" t="s">
        <v>417</v>
      </c>
      <c r="B91" s="1309"/>
      <c r="C91" s="1309"/>
      <c r="D91" s="1309"/>
      <c r="E91" s="1309"/>
      <c r="F91" s="1309"/>
      <c r="G91" s="1309"/>
      <c r="H91" s="1309"/>
      <c r="I91" s="1309"/>
      <c r="J91" s="1309"/>
      <c r="K91" s="1309"/>
      <c r="L91" s="1309"/>
      <c r="M91" s="1309"/>
    </row>
    <row r="92" spans="1:15" x14ac:dyDescent="0.2">
      <c r="A92" s="621"/>
      <c r="B92" s="591"/>
      <c r="C92" s="591"/>
      <c r="D92" s="591"/>
      <c r="E92" s="591"/>
      <c r="F92" s="591"/>
      <c r="G92" s="591"/>
      <c r="H92" s="591"/>
      <c r="I92" s="591"/>
      <c r="J92" s="591"/>
      <c r="K92" s="591"/>
      <c r="L92" s="591"/>
      <c r="M92" s="591"/>
    </row>
    <row r="93" spans="1:15" ht="13.5" thickBot="1" x14ac:dyDescent="0.25">
      <c r="A93" s="609">
        <f>SUM(B93:M93)</f>
        <v>99.999999999999957</v>
      </c>
      <c r="B93" s="609">
        <f>'X22.55 DOF'!B74</f>
        <v>8.3333333333333321</v>
      </c>
      <c r="C93" s="609">
        <f>'X22.55 DOF'!C74</f>
        <v>8.3333333333333321</v>
      </c>
      <c r="D93" s="609">
        <f>'X22.55 DOF'!D74</f>
        <v>8.3333333333333321</v>
      </c>
      <c r="E93" s="609">
        <f>'X22.55 DOF'!E74</f>
        <v>8.3333333333333321</v>
      </c>
      <c r="F93" s="609">
        <f>'X22.55 DOF'!F74</f>
        <v>8.3333333333333321</v>
      </c>
      <c r="G93" s="609">
        <f>'X22.55 DOF'!G74</f>
        <v>8.3333333333333321</v>
      </c>
      <c r="H93" s="609">
        <f>'X22.55 DOF'!H74</f>
        <v>8.3333333333333321</v>
      </c>
      <c r="I93" s="609">
        <f>'X22.55 DOF'!I74</f>
        <v>8.3333333333333321</v>
      </c>
      <c r="J93" s="609">
        <f>'X22.55 DOF'!J74</f>
        <v>8.3333333333333321</v>
      </c>
      <c r="K93" s="609">
        <f>'X22.55 DOF'!K74</f>
        <v>8.3333333333333321</v>
      </c>
      <c r="L93" s="609">
        <f>'X22.55 DOF'!L74</f>
        <v>8.3333333333333321</v>
      </c>
      <c r="M93" s="609">
        <f>'X22.55 DOF'!M74</f>
        <v>8.3333333333333321</v>
      </c>
    </row>
    <row r="94" spans="1:15" ht="13.5" thickBot="1" x14ac:dyDescent="0.25">
      <c r="A94" s="593" t="s">
        <v>326</v>
      </c>
      <c r="B94" s="593" t="s">
        <v>1</v>
      </c>
      <c r="C94" s="593" t="s">
        <v>2</v>
      </c>
      <c r="D94" s="593" t="s">
        <v>3</v>
      </c>
      <c r="E94" s="593" t="s">
        <v>4</v>
      </c>
      <c r="F94" s="593" t="s">
        <v>5</v>
      </c>
      <c r="G94" s="593" t="s">
        <v>6</v>
      </c>
      <c r="H94" s="593" t="s">
        <v>7</v>
      </c>
      <c r="I94" s="593" t="s">
        <v>8</v>
      </c>
      <c r="J94" s="593" t="s">
        <v>9</v>
      </c>
      <c r="K94" s="593" t="s">
        <v>10</v>
      </c>
      <c r="L94" s="593" t="s">
        <v>11</v>
      </c>
      <c r="M94" s="593" t="s">
        <v>12</v>
      </c>
    </row>
    <row r="95" spans="1:15" ht="13.5" thickBot="1" x14ac:dyDescent="0.25">
      <c r="A95" s="852">
        <v>14488213</v>
      </c>
      <c r="B95" s="620">
        <f>$A$95*B93/100</f>
        <v>1207351.083333333</v>
      </c>
      <c r="C95" s="620">
        <f t="shared" ref="C95:M95" si="31">$A$95*C93/100</f>
        <v>1207351.083333333</v>
      </c>
      <c r="D95" s="620">
        <f t="shared" si="31"/>
        <v>1207351.083333333</v>
      </c>
      <c r="E95" s="620">
        <f t="shared" si="31"/>
        <v>1207351.083333333</v>
      </c>
      <c r="F95" s="620">
        <f t="shared" si="31"/>
        <v>1207351.083333333</v>
      </c>
      <c r="G95" s="620">
        <f t="shared" si="31"/>
        <v>1207351.083333333</v>
      </c>
      <c r="H95" s="620">
        <f t="shared" si="31"/>
        <v>1207351.083333333</v>
      </c>
      <c r="I95" s="620">
        <f t="shared" si="31"/>
        <v>1207351.083333333</v>
      </c>
      <c r="J95" s="620">
        <f t="shared" si="31"/>
        <v>1207351.083333333</v>
      </c>
      <c r="K95" s="620">
        <f t="shared" si="31"/>
        <v>1207351.083333333</v>
      </c>
      <c r="L95" s="620">
        <f t="shared" si="31"/>
        <v>1207351.083333333</v>
      </c>
      <c r="M95" s="620">
        <f t="shared" si="31"/>
        <v>1207351.083333333</v>
      </c>
      <c r="N95" s="509">
        <f>SUM(B95)</f>
        <v>1207351.083333333</v>
      </c>
    </row>
    <row r="96" spans="1:15" ht="13.5" thickBot="1" x14ac:dyDescent="0.25">
      <c r="A96" s="615">
        <v>0.22500000000000001</v>
      </c>
      <c r="B96" s="615">
        <v>0.22500000000000001</v>
      </c>
      <c r="C96" s="615">
        <v>0.22500000000000001</v>
      </c>
      <c r="D96" s="615">
        <v>0.22500000000000001</v>
      </c>
      <c r="E96" s="615">
        <v>0.22500000000000001</v>
      </c>
      <c r="F96" s="615">
        <v>0.22500000000000001</v>
      </c>
      <c r="G96" s="615">
        <v>0.22500000000000001</v>
      </c>
      <c r="H96" s="615">
        <v>0.22500000000000001</v>
      </c>
      <c r="I96" s="615">
        <v>0.22500000000000001</v>
      </c>
      <c r="J96" s="615">
        <v>0.22500000000000001</v>
      </c>
      <c r="K96" s="615">
        <v>0.22500000000000001</v>
      </c>
      <c r="L96" s="615">
        <v>0.22500000000000001</v>
      </c>
      <c r="M96" s="615">
        <v>0.22500000000000001</v>
      </c>
      <c r="N96" s="509"/>
    </row>
    <row r="97" spans="1:15" ht="13.5" thickBot="1" x14ac:dyDescent="0.25">
      <c r="A97" s="603">
        <f t="shared" ref="A97:M97" si="32">A95*A96</f>
        <v>3259847.9250000003</v>
      </c>
      <c r="B97" s="603">
        <f t="shared" si="32"/>
        <v>271653.99374999997</v>
      </c>
      <c r="C97" s="603">
        <f t="shared" si="32"/>
        <v>271653.99374999997</v>
      </c>
      <c r="D97" s="603">
        <f t="shared" si="32"/>
        <v>271653.99374999997</v>
      </c>
      <c r="E97" s="603">
        <f t="shared" si="32"/>
        <v>271653.99374999997</v>
      </c>
      <c r="F97" s="603">
        <f t="shared" si="32"/>
        <v>271653.99374999997</v>
      </c>
      <c r="G97" s="603">
        <f t="shared" si="32"/>
        <v>271653.99374999997</v>
      </c>
      <c r="H97" s="603">
        <f t="shared" si="32"/>
        <v>271653.99374999997</v>
      </c>
      <c r="I97" s="603">
        <f t="shared" si="32"/>
        <v>271653.99374999997</v>
      </c>
      <c r="J97" s="603">
        <f t="shared" si="32"/>
        <v>271653.99374999997</v>
      </c>
      <c r="K97" s="603">
        <f t="shared" si="32"/>
        <v>271653.99374999997</v>
      </c>
      <c r="L97" s="603">
        <f t="shared" si="32"/>
        <v>271653.99374999997</v>
      </c>
      <c r="M97" s="603">
        <f t="shared" si="32"/>
        <v>271653.99374999997</v>
      </c>
      <c r="N97" s="509">
        <f>SUM(B97)</f>
        <v>271653.99374999997</v>
      </c>
    </row>
    <row r="98" spans="1:15" x14ac:dyDescent="0.2">
      <c r="A98" s="605" t="s">
        <v>327</v>
      </c>
      <c r="B98" s="605">
        <v>157893.75</v>
      </c>
      <c r="C98" s="605">
        <v>157893.75</v>
      </c>
      <c r="D98" s="605">
        <v>157893.75</v>
      </c>
      <c r="E98" s="605">
        <v>157893.75</v>
      </c>
      <c r="F98" s="605">
        <v>157893.75</v>
      </c>
      <c r="G98" s="605">
        <v>157893.75</v>
      </c>
      <c r="H98" s="605">
        <v>157893.75</v>
      </c>
      <c r="I98" s="605">
        <v>157893.75</v>
      </c>
      <c r="J98" s="605">
        <v>157893.75</v>
      </c>
      <c r="K98" s="605">
        <v>157893.75</v>
      </c>
      <c r="L98" s="605">
        <v>157893.75</v>
      </c>
      <c r="M98" s="605">
        <v>157894.875</v>
      </c>
    </row>
    <row r="99" spans="1:15" ht="13.5" thickBot="1" x14ac:dyDescent="0.25">
      <c r="A99" s="605" t="s">
        <v>328</v>
      </c>
      <c r="B99" s="605">
        <f>B97-B98</f>
        <v>113760.24374999997</v>
      </c>
      <c r="C99" s="605">
        <f t="shared" ref="C99:M99" si="33">C97-C98</f>
        <v>113760.24374999997</v>
      </c>
      <c r="D99" s="605">
        <f t="shared" si="33"/>
        <v>113760.24374999997</v>
      </c>
      <c r="E99" s="605">
        <f t="shared" si="33"/>
        <v>113760.24374999997</v>
      </c>
      <c r="F99" s="605">
        <f t="shared" si="33"/>
        <v>113760.24374999997</v>
      </c>
      <c r="G99" s="605">
        <f t="shared" si="33"/>
        <v>113760.24374999997</v>
      </c>
      <c r="H99" s="605">
        <f t="shared" si="33"/>
        <v>113760.24374999997</v>
      </c>
      <c r="I99" s="605">
        <f t="shared" si="33"/>
        <v>113760.24374999997</v>
      </c>
      <c r="J99" s="605">
        <f t="shared" si="33"/>
        <v>113760.24374999997</v>
      </c>
      <c r="K99" s="605">
        <f t="shared" si="33"/>
        <v>113760.24374999997</v>
      </c>
      <c r="L99" s="605">
        <f t="shared" si="33"/>
        <v>113760.24374999997</v>
      </c>
      <c r="M99" s="605">
        <f t="shared" si="33"/>
        <v>113759.11874999997</v>
      </c>
    </row>
    <row r="100" spans="1:15" ht="13.5" thickBot="1" x14ac:dyDescent="0.25">
      <c r="A100" s="606" t="s">
        <v>364</v>
      </c>
      <c r="B100" s="607">
        <f>B98+B99</f>
        <v>271653.99374999997</v>
      </c>
      <c r="C100" s="607">
        <f t="shared" ref="C100:M100" si="34">C98+C99</f>
        <v>271653.99374999997</v>
      </c>
      <c r="D100" s="607">
        <f t="shared" si="34"/>
        <v>271653.99374999997</v>
      </c>
      <c r="E100" s="607">
        <f t="shared" si="34"/>
        <v>271653.99374999997</v>
      </c>
      <c r="F100" s="607">
        <f t="shared" si="34"/>
        <v>271653.99374999997</v>
      </c>
      <c r="G100" s="607">
        <f t="shared" si="34"/>
        <v>271653.99374999997</v>
      </c>
      <c r="H100" s="607">
        <f t="shared" si="34"/>
        <v>271653.99374999997</v>
      </c>
      <c r="I100" s="607">
        <f t="shared" si="34"/>
        <v>271653.99374999997</v>
      </c>
      <c r="J100" s="607">
        <f t="shared" si="34"/>
        <v>271653.99374999997</v>
      </c>
      <c r="K100" s="607">
        <f t="shared" si="34"/>
        <v>271653.99374999997</v>
      </c>
      <c r="L100" s="607">
        <f t="shared" si="34"/>
        <v>271653.99374999997</v>
      </c>
      <c r="M100" s="607">
        <f t="shared" si="34"/>
        <v>271653.99374999997</v>
      </c>
    </row>
    <row r="101" spans="1:15" x14ac:dyDescent="0.2">
      <c r="A101" s="1310"/>
      <c r="B101" s="1310"/>
      <c r="C101" s="1310"/>
      <c r="D101" s="1310"/>
      <c r="E101" s="1310"/>
      <c r="F101" s="1310"/>
      <c r="G101" s="1310"/>
      <c r="H101" s="1310"/>
      <c r="I101" s="1310"/>
      <c r="J101" s="1310"/>
      <c r="K101" s="1310"/>
      <c r="L101" s="1310"/>
      <c r="M101" s="1310"/>
    </row>
    <row r="102" spans="1:15" x14ac:dyDescent="0.2">
      <c r="A102" s="731"/>
      <c r="B102" s="731"/>
      <c r="C102" s="731"/>
      <c r="D102" s="731"/>
      <c r="E102" s="731"/>
      <c r="F102" s="731"/>
      <c r="G102" s="731"/>
      <c r="H102" s="731"/>
      <c r="I102" s="731"/>
      <c r="J102" s="731"/>
      <c r="K102" s="731"/>
      <c r="L102" s="731"/>
      <c r="M102" s="731"/>
    </row>
    <row r="103" spans="1:15" x14ac:dyDescent="0.2">
      <c r="A103" s="1311"/>
      <c r="B103" s="1311"/>
      <c r="C103" s="1311"/>
      <c r="D103" s="1311"/>
      <c r="E103" s="1311"/>
      <c r="F103" s="1311"/>
      <c r="G103" s="1311"/>
      <c r="H103" s="1311"/>
      <c r="I103" s="1311"/>
      <c r="J103" s="1311"/>
      <c r="K103" s="1311"/>
      <c r="L103" s="1311"/>
      <c r="M103" s="1311"/>
    </row>
    <row r="104" spans="1:15" x14ac:dyDescent="0.2">
      <c r="A104" s="1304" t="s">
        <v>325</v>
      </c>
      <c r="B104" s="1304"/>
      <c r="C104" s="1304"/>
      <c r="D104" s="1304"/>
      <c r="E104" s="1304"/>
      <c r="F104" s="1304"/>
      <c r="G104" s="1304"/>
      <c r="H104" s="1304"/>
      <c r="I104" s="1304"/>
      <c r="J104" s="1304"/>
      <c r="K104" s="1304"/>
      <c r="L104" s="1304"/>
      <c r="M104" s="1304"/>
    </row>
    <row r="105" spans="1:15" x14ac:dyDescent="0.2">
      <c r="A105" s="1309" t="s">
        <v>418</v>
      </c>
      <c r="B105" s="1309"/>
      <c r="C105" s="1309"/>
      <c r="D105" s="1309"/>
      <c r="E105" s="1309"/>
      <c r="F105" s="1309"/>
      <c r="G105" s="1309"/>
      <c r="H105" s="1309"/>
      <c r="I105" s="1309"/>
      <c r="J105" s="1309"/>
      <c r="K105" s="1309"/>
      <c r="L105" s="1309"/>
      <c r="M105" s="1309"/>
      <c r="N105" s="622"/>
    </row>
    <row r="106" spans="1:15" ht="13.5" thickBot="1" x14ac:dyDescent="0.25">
      <c r="A106" s="623">
        <f>SUM(B106:M106)</f>
        <v>100.00000000000001</v>
      </c>
      <c r="B106" s="624">
        <f>'X22.55 DOF'!B84</f>
        <v>13.637435366553898</v>
      </c>
      <c r="C106" s="624">
        <f>'X22.55 DOF'!C84</f>
        <v>12.3102131480076</v>
      </c>
      <c r="D106" s="624">
        <f>'X22.55 DOF'!D84</f>
        <v>9.2288028697163114</v>
      </c>
      <c r="E106" s="624">
        <f>'X22.55 DOF'!E84</f>
        <v>8.2406128997098165</v>
      </c>
      <c r="F106" s="624">
        <f>'X22.55 DOF'!F84</f>
        <v>7.7161614322333429</v>
      </c>
      <c r="G106" s="624">
        <f>'X22.55 DOF'!G84</f>
        <v>6.7806360963334633</v>
      </c>
      <c r="H106" s="624">
        <f>'X22.55 DOF'!H84</f>
        <v>7.4588959468437857</v>
      </c>
      <c r="I106" s="624">
        <f>'X22.55 DOF'!I84</f>
        <v>5.8800446792082237</v>
      </c>
      <c r="J106" s="624">
        <f>'X22.55 DOF'!J84</f>
        <v>7.5606620606830255</v>
      </c>
      <c r="K106" s="624">
        <f>'X22.55 DOF'!K84</f>
        <v>7.3656796286095938</v>
      </c>
      <c r="L106" s="624">
        <f>'X22.55 DOF'!L84</f>
        <v>8.3341952607144769</v>
      </c>
      <c r="M106" s="624">
        <f>'X22.55 DOF'!M84</f>
        <v>5.4866606113864638</v>
      </c>
      <c r="N106" s="622"/>
    </row>
    <row r="107" spans="1:15" ht="13.5" thickBot="1" x14ac:dyDescent="0.25">
      <c r="A107" s="592" t="s">
        <v>326</v>
      </c>
      <c r="B107" s="593" t="s">
        <v>1</v>
      </c>
      <c r="C107" s="593" t="s">
        <v>2</v>
      </c>
      <c r="D107" s="593" t="s">
        <v>3</v>
      </c>
      <c r="E107" s="593" t="s">
        <v>4</v>
      </c>
      <c r="F107" s="593" t="s">
        <v>5</v>
      </c>
      <c r="G107" s="593" t="s">
        <v>6</v>
      </c>
      <c r="H107" s="593" t="s">
        <v>7</v>
      </c>
      <c r="I107" s="593" t="s">
        <v>8</v>
      </c>
      <c r="J107" s="593" t="s">
        <v>9</v>
      </c>
      <c r="K107" s="593" t="s">
        <v>10</v>
      </c>
      <c r="L107" s="593" t="s">
        <v>11</v>
      </c>
      <c r="M107" s="593" t="s">
        <v>12</v>
      </c>
      <c r="N107" s="622"/>
    </row>
    <row r="108" spans="1:15" ht="13.5" thickBot="1" x14ac:dyDescent="0.25">
      <c r="A108" s="851">
        <v>864580799</v>
      </c>
      <c r="B108" s="620">
        <f>$A$108*B106/100</f>
        <v>117906647.65526028</v>
      </c>
      <c r="C108" s="620">
        <f t="shared" ref="C108:M108" si="35">$A$108*C106/100</f>
        <v>106431739.19364716</v>
      </c>
      <c r="D108" s="620">
        <f t="shared" si="35"/>
        <v>79790457.589128211</v>
      </c>
      <c r="E108" s="620">
        <f t="shared" si="35"/>
        <v>71246756.850808203</v>
      </c>
      <c r="F108" s="620">
        <f t="shared" si="35"/>
        <v>66712450.16293288</v>
      </c>
      <c r="G108" s="620">
        <f t="shared" si="35"/>
        <v>58624077.73896227</v>
      </c>
      <c r="H108" s="620">
        <f t="shared" si="35"/>
        <v>64488182.173800617</v>
      </c>
      <c r="I108" s="620">
        <f t="shared" si="35"/>
        <v>50837737.269055441</v>
      </c>
      <c r="J108" s="620">
        <f t="shared" si="35"/>
        <v>65368032.453943163</v>
      </c>
      <c r="K108" s="620">
        <f t="shared" si="35"/>
        <v>63682251.784813061</v>
      </c>
      <c r="L108" s="620">
        <f t="shared" si="35"/>
        <v>72055851.975305364</v>
      </c>
      <c r="M108" s="620">
        <f t="shared" si="35"/>
        <v>47436614.152343377</v>
      </c>
      <c r="N108" s="596">
        <f>SUM(B108)</f>
        <v>117906647.65526028</v>
      </c>
    </row>
    <row r="109" spans="1:15" ht="13.5" thickBot="1" x14ac:dyDescent="0.25">
      <c r="A109" s="600">
        <v>0.28000000000000003</v>
      </c>
      <c r="B109" s="600">
        <v>0.28000000000000003</v>
      </c>
      <c r="C109" s="600">
        <v>0.28000000000000003</v>
      </c>
      <c r="D109" s="600">
        <v>0.28000000000000003</v>
      </c>
      <c r="E109" s="600">
        <v>0.28000000000000003</v>
      </c>
      <c r="F109" s="600">
        <v>0.28000000000000003</v>
      </c>
      <c r="G109" s="600">
        <v>0.28000000000000003</v>
      </c>
      <c r="H109" s="600">
        <v>0.28000000000000003</v>
      </c>
      <c r="I109" s="600">
        <v>0.28000000000000003</v>
      </c>
      <c r="J109" s="600">
        <v>0.28000000000000003</v>
      </c>
      <c r="K109" s="600">
        <v>0.28000000000000003</v>
      </c>
      <c r="L109" s="600">
        <v>0.28000000000000003</v>
      </c>
      <c r="M109" s="600">
        <v>0.28000000000000003</v>
      </c>
      <c r="N109" s="596"/>
    </row>
    <row r="110" spans="1:15" ht="13.5" thickBot="1" x14ac:dyDescent="0.25">
      <c r="A110" s="594">
        <f t="shared" ref="A110:M110" si="36">A108*A109</f>
        <v>242082623.72000003</v>
      </c>
      <c r="B110" s="603">
        <f t="shared" si="36"/>
        <v>33013861.343472883</v>
      </c>
      <c r="C110" s="603">
        <f t="shared" si="36"/>
        <v>29800886.974221207</v>
      </c>
      <c r="D110" s="603">
        <f t="shared" si="36"/>
        <v>22341328.1249559</v>
      </c>
      <c r="E110" s="603">
        <f t="shared" si="36"/>
        <v>19949091.918226298</v>
      </c>
      <c r="F110" s="603">
        <f t="shared" si="36"/>
        <v>18679486.045621209</v>
      </c>
      <c r="G110" s="603">
        <f t="shared" si="36"/>
        <v>16414741.766909437</v>
      </c>
      <c r="H110" s="603">
        <f t="shared" si="36"/>
        <v>18056691.008664176</v>
      </c>
      <c r="I110" s="603">
        <f t="shared" si="36"/>
        <v>14234566.435335524</v>
      </c>
      <c r="J110" s="603">
        <f t="shared" si="36"/>
        <v>18303049.087104086</v>
      </c>
      <c r="K110" s="603">
        <f t="shared" si="36"/>
        <v>17831030.49974766</v>
      </c>
      <c r="L110" s="603">
        <f t="shared" si="36"/>
        <v>20175638.553085502</v>
      </c>
      <c r="M110" s="603">
        <f t="shared" si="36"/>
        <v>13282251.962656148</v>
      </c>
      <c r="N110" s="596">
        <f>SUM(B110)</f>
        <v>33013861.343472883</v>
      </c>
      <c r="O110" s="509"/>
    </row>
    <row r="111" spans="1:15" ht="13.5" thickBot="1" x14ac:dyDescent="0.25">
      <c r="A111" s="606" t="s">
        <v>364</v>
      </c>
    </row>
    <row r="112" spans="1:15" x14ac:dyDescent="0.2">
      <c r="A112" s="617"/>
    </row>
    <row r="115" spans="1:14" x14ac:dyDescent="0.2">
      <c r="A115" s="1304" t="s">
        <v>325</v>
      </c>
      <c r="B115" s="1304"/>
      <c r="C115" s="1304"/>
      <c r="D115" s="1304"/>
      <c r="E115" s="1304"/>
      <c r="F115" s="1304"/>
      <c r="G115" s="1304"/>
      <c r="H115" s="1304"/>
      <c r="I115" s="1304"/>
      <c r="J115" s="1304"/>
      <c r="K115" s="1304"/>
      <c r="L115" s="1304"/>
      <c r="M115" s="1304"/>
    </row>
    <row r="116" spans="1:14" x14ac:dyDescent="0.2">
      <c r="A116" s="1309" t="s">
        <v>419</v>
      </c>
      <c r="B116" s="1309"/>
      <c r="C116" s="1309"/>
      <c r="D116" s="1309"/>
      <c r="E116" s="1309"/>
      <c r="F116" s="1309"/>
      <c r="G116" s="1309"/>
      <c r="H116" s="1309"/>
      <c r="I116" s="1309"/>
      <c r="J116" s="1309"/>
      <c r="K116" s="1309"/>
      <c r="L116" s="1309"/>
      <c r="M116" s="1309"/>
    </row>
    <row r="117" spans="1:14" ht="13.5" thickBot="1" x14ac:dyDescent="0.25">
      <c r="A117" s="623">
        <f>SUM(B117:M117)</f>
        <v>100</v>
      </c>
      <c r="B117" s="624">
        <f>'X22.55 DOF'!B94</f>
        <v>10.147617743098525</v>
      </c>
      <c r="C117" s="624">
        <f>'X22.55 DOF'!C94</f>
        <v>9.2324984701872825</v>
      </c>
      <c r="D117" s="624">
        <f>'X22.55 DOF'!D94</f>
        <v>9.0150971260513213</v>
      </c>
      <c r="E117" s="624">
        <f>'X22.55 DOF'!E94</f>
        <v>5.8623840307494977</v>
      </c>
      <c r="F117" s="624">
        <f>'X22.55 DOF'!F94</f>
        <v>7.5404285154991282</v>
      </c>
      <c r="G117" s="624">
        <f>'X22.55 DOF'!G94</f>
        <v>8.2819809578989236</v>
      </c>
      <c r="H117" s="624">
        <f>'X22.55 DOF'!H94</f>
        <v>10.199809809904369</v>
      </c>
      <c r="I117" s="624">
        <f>'X22.55 DOF'!I94</f>
        <v>7.3105761227460846</v>
      </c>
      <c r="J117" s="624">
        <f>'X22.55 DOF'!J94</f>
        <v>9.1179461988746038</v>
      </c>
      <c r="K117" s="624">
        <f>'X22.55 DOF'!K94</f>
        <v>6.9258400324960556</v>
      </c>
      <c r="L117" s="624">
        <f>'X22.55 DOF'!L94</f>
        <v>8.6660872796203758</v>
      </c>
      <c r="M117" s="624">
        <f>'X22.55 DOF'!M94</f>
        <v>7.6997337128738339</v>
      </c>
    </row>
    <row r="118" spans="1:14" ht="13.5" thickBot="1" x14ac:dyDescent="0.25">
      <c r="A118" s="592" t="s">
        <v>326</v>
      </c>
      <c r="B118" s="593" t="s">
        <v>1</v>
      </c>
      <c r="C118" s="593" t="s">
        <v>2</v>
      </c>
      <c r="D118" s="593" t="s">
        <v>3</v>
      </c>
      <c r="E118" s="593" t="s">
        <v>4</v>
      </c>
      <c r="F118" s="593" t="s">
        <v>5</v>
      </c>
      <c r="G118" s="593" t="s">
        <v>6</v>
      </c>
      <c r="H118" s="593" t="s">
        <v>7</v>
      </c>
      <c r="I118" s="593" t="s">
        <v>8</v>
      </c>
      <c r="J118" s="593" t="s">
        <v>9</v>
      </c>
      <c r="K118" s="593" t="s">
        <v>10</v>
      </c>
      <c r="L118" s="593" t="s">
        <v>11</v>
      </c>
      <c r="M118" s="593" t="s">
        <v>12</v>
      </c>
    </row>
    <row r="119" spans="1:14" ht="13.5" thickBot="1" x14ac:dyDescent="0.25">
      <c r="A119" s="851">
        <v>7621848</v>
      </c>
      <c r="B119" s="620">
        <f>$A$119*B117/100</f>
        <v>773436.00000000012</v>
      </c>
      <c r="C119" s="620">
        <f t="shared" ref="C119:M119" si="37">$A$119*C117/100</f>
        <v>703687</v>
      </c>
      <c r="D119" s="620">
        <f t="shared" si="37"/>
        <v>687117.00000000012</v>
      </c>
      <c r="E119" s="620">
        <f t="shared" si="37"/>
        <v>446822</v>
      </c>
      <c r="F119" s="620">
        <f t="shared" si="37"/>
        <v>574720</v>
      </c>
      <c r="G119" s="620">
        <f t="shared" si="37"/>
        <v>631239.99999999988</v>
      </c>
      <c r="H119" s="620">
        <f t="shared" si="37"/>
        <v>777414</v>
      </c>
      <c r="I119" s="620">
        <f t="shared" si="37"/>
        <v>557201</v>
      </c>
      <c r="J119" s="620">
        <f t="shared" si="37"/>
        <v>694956</v>
      </c>
      <c r="K119" s="620">
        <f t="shared" si="37"/>
        <v>527877</v>
      </c>
      <c r="L119" s="620">
        <f t="shared" si="37"/>
        <v>660516</v>
      </c>
      <c r="M119" s="620">
        <f t="shared" si="37"/>
        <v>586862.00000000012</v>
      </c>
      <c r="N119" s="596">
        <f>SUM(B119)</f>
        <v>773436.00000000012</v>
      </c>
    </row>
    <row r="120" spans="1:14" ht="13.5" thickBot="1" x14ac:dyDescent="0.25">
      <c r="A120" s="600">
        <v>0.22500000000000001</v>
      </c>
      <c r="B120" s="615">
        <v>0.22500000000000001</v>
      </c>
      <c r="C120" s="615">
        <v>0.22500000000000001</v>
      </c>
      <c r="D120" s="615">
        <v>0.22500000000000001</v>
      </c>
      <c r="E120" s="615">
        <v>0.22500000000000001</v>
      </c>
      <c r="F120" s="615">
        <v>0.22500000000000001</v>
      </c>
      <c r="G120" s="615">
        <v>0.22500000000000001</v>
      </c>
      <c r="H120" s="615">
        <v>0.22500000000000001</v>
      </c>
      <c r="I120" s="615">
        <v>0.22500000000000001</v>
      </c>
      <c r="J120" s="615">
        <v>0.22500000000000001</v>
      </c>
      <c r="K120" s="615">
        <v>0.22500000000000001</v>
      </c>
      <c r="L120" s="615">
        <v>0.22500000000000001</v>
      </c>
      <c r="M120" s="615">
        <v>0.22500000000000001</v>
      </c>
      <c r="N120" s="596"/>
    </row>
    <row r="121" spans="1:14" ht="13.5" thickBot="1" x14ac:dyDescent="0.25">
      <c r="A121" s="594">
        <f t="shared" ref="A121:M121" si="38">A119*A120</f>
        <v>1714915.8</v>
      </c>
      <c r="B121" s="603">
        <f t="shared" si="38"/>
        <v>174023.10000000003</v>
      </c>
      <c r="C121" s="603">
        <f t="shared" si="38"/>
        <v>158329.57500000001</v>
      </c>
      <c r="D121" s="603">
        <f t="shared" si="38"/>
        <v>154601.32500000004</v>
      </c>
      <c r="E121" s="603">
        <f t="shared" si="38"/>
        <v>100534.95</v>
      </c>
      <c r="F121" s="603">
        <f t="shared" si="38"/>
        <v>129312</v>
      </c>
      <c r="G121" s="603">
        <f t="shared" si="38"/>
        <v>142028.99999999997</v>
      </c>
      <c r="H121" s="603">
        <f t="shared" si="38"/>
        <v>174918.15</v>
      </c>
      <c r="I121" s="603">
        <f t="shared" si="38"/>
        <v>125370.22500000001</v>
      </c>
      <c r="J121" s="603">
        <f t="shared" si="38"/>
        <v>156365.1</v>
      </c>
      <c r="K121" s="603">
        <f t="shared" si="38"/>
        <v>118772.325</v>
      </c>
      <c r="L121" s="603">
        <f t="shared" si="38"/>
        <v>148616.1</v>
      </c>
      <c r="M121" s="603">
        <f t="shared" si="38"/>
        <v>132043.95000000004</v>
      </c>
      <c r="N121" s="596">
        <f>SUM(B121)</f>
        <v>174023.10000000003</v>
      </c>
    </row>
    <row r="122" spans="1:14" ht="13.5" thickBot="1" x14ac:dyDescent="0.25">
      <c r="A122" s="606" t="s">
        <v>364</v>
      </c>
    </row>
    <row r="125" spans="1:14" x14ac:dyDescent="0.2">
      <c r="A125" s="1304" t="s">
        <v>325</v>
      </c>
      <c r="B125" s="1304"/>
      <c r="C125" s="1304"/>
      <c r="D125" s="1304"/>
      <c r="E125" s="1304"/>
      <c r="F125" s="1304"/>
      <c r="G125" s="1304"/>
      <c r="H125" s="1304"/>
      <c r="I125" s="1304"/>
      <c r="J125" s="1304"/>
      <c r="K125" s="1304"/>
      <c r="L125" s="1304"/>
      <c r="M125" s="1304"/>
    </row>
    <row r="126" spans="1:14" x14ac:dyDescent="0.2">
      <c r="A126" s="1309" t="s">
        <v>420</v>
      </c>
      <c r="B126" s="1309"/>
      <c r="C126" s="1309"/>
      <c r="D126" s="1309"/>
      <c r="E126" s="1309"/>
      <c r="F126" s="1309"/>
      <c r="G126" s="1309"/>
      <c r="H126" s="1309"/>
      <c r="I126" s="1309"/>
      <c r="J126" s="1309"/>
      <c r="K126" s="1309"/>
      <c r="L126" s="1309"/>
      <c r="M126" s="1309"/>
    </row>
    <row r="127" spans="1:14" ht="13.5" thickBot="1" x14ac:dyDescent="0.25">
      <c r="A127" s="623">
        <f>SUM(B127:M127)</f>
        <v>100</v>
      </c>
      <c r="B127" s="624">
        <f>'X22.55 DOF'!B104</f>
        <v>4.6669207271317648</v>
      </c>
      <c r="C127" s="624">
        <f>'X22.55 DOF'!C104</f>
        <v>8.8094043788518697</v>
      </c>
      <c r="D127" s="624">
        <f>'X22.55 DOF'!D104</f>
        <v>7.9007211169408471</v>
      </c>
      <c r="E127" s="624">
        <f>'X22.55 DOF'!E104</f>
        <v>9.4959742273216019</v>
      </c>
      <c r="F127" s="624">
        <f>'X22.55 DOF'!F104</f>
        <v>9.6751004622991275</v>
      </c>
      <c r="G127" s="624">
        <f>'X22.55 DOF'!G104</f>
        <v>14.684229737936496</v>
      </c>
      <c r="H127" s="624">
        <f>'X22.55 DOF'!H104</f>
        <v>10.114562962792846</v>
      </c>
      <c r="I127" s="624">
        <f>'X22.55 DOF'!I104</f>
        <v>5.6841532981431167</v>
      </c>
      <c r="J127" s="624">
        <f>'X22.55 DOF'!J104</f>
        <v>6.8182068074146045</v>
      </c>
      <c r="K127" s="624">
        <f>'X22.55 DOF'!K104</f>
        <v>6.8955483625460277</v>
      </c>
      <c r="L127" s="624">
        <f>'X22.55 DOF'!L104</f>
        <v>6.8218054808286199</v>
      </c>
      <c r="M127" s="624">
        <f>'X22.55 DOF'!M104</f>
        <v>8.4333724377930768</v>
      </c>
    </row>
    <row r="128" spans="1:14" ht="13.5" thickBot="1" x14ac:dyDescent="0.25">
      <c r="A128" s="592" t="s">
        <v>326</v>
      </c>
      <c r="B128" s="593" t="s">
        <v>1</v>
      </c>
      <c r="C128" s="593" t="s">
        <v>2</v>
      </c>
      <c r="D128" s="593" t="s">
        <v>3</v>
      </c>
      <c r="E128" s="593" t="s">
        <v>4</v>
      </c>
      <c r="F128" s="593" t="s">
        <v>5</v>
      </c>
      <c r="G128" s="593" t="s">
        <v>6</v>
      </c>
      <c r="H128" s="593" t="s">
        <v>7</v>
      </c>
      <c r="I128" s="593" t="s">
        <v>8</v>
      </c>
      <c r="J128" s="593" t="s">
        <v>9</v>
      </c>
      <c r="K128" s="593" t="s">
        <v>10</v>
      </c>
      <c r="L128" s="593" t="s">
        <v>11</v>
      </c>
      <c r="M128" s="593" t="s">
        <v>12</v>
      </c>
    </row>
    <row r="129" spans="1:18" ht="13.5" thickBot="1" x14ac:dyDescent="0.25">
      <c r="A129" s="851">
        <v>617693349</v>
      </c>
      <c r="B129" s="620">
        <f>$A$129*B127/100</f>
        <v>28827258.93459535</v>
      </c>
      <c r="C129" s="620">
        <f t="shared" ref="C129:M129" si="39">$A$129*C127/100</f>
        <v>54415104.934682757</v>
      </c>
      <c r="D129" s="620">
        <f t="shared" si="39"/>
        <v>48802228.862382129</v>
      </c>
      <c r="E129" s="620">
        <f t="shared" si="39"/>
        <v>58656001.224919669</v>
      </c>
      <c r="F129" s="620">
        <f t="shared" si="39"/>
        <v>59762452.064689964</v>
      </c>
      <c r="G129" s="620">
        <f t="shared" si="39"/>
        <v>90703510.443113863</v>
      </c>
      <c r="H129" s="620">
        <f t="shared" si="39"/>
        <v>62476982.701588757</v>
      </c>
      <c r="I129" s="620">
        <f t="shared" si="39"/>
        <v>35110636.869594172</v>
      </c>
      <c r="J129" s="620">
        <f t="shared" si="39"/>
        <v>42115609.97046525</v>
      </c>
      <c r="K129" s="620">
        <f t="shared" si="39"/>
        <v>42593343.612525217</v>
      </c>
      <c r="L129" s="620">
        <f t="shared" si="39"/>
        <v>42137838.736795858</v>
      </c>
      <c r="M129" s="620">
        <f t="shared" si="39"/>
        <v>52092380.644646995</v>
      </c>
      <c r="N129" s="596">
        <f>SUM(B129)</f>
        <v>28827258.93459535</v>
      </c>
      <c r="P129" s="632"/>
    </row>
    <row r="130" spans="1:18" ht="13.5" thickBot="1" x14ac:dyDescent="0.25">
      <c r="A130" s="600">
        <v>0.22500000000000001</v>
      </c>
      <c r="B130" s="615">
        <v>0.22500000000000001</v>
      </c>
      <c r="C130" s="615">
        <v>0.22500000000000001</v>
      </c>
      <c r="D130" s="615">
        <v>0.22500000000000001</v>
      </c>
      <c r="E130" s="615">
        <v>0.22500000000000001</v>
      </c>
      <c r="F130" s="615">
        <v>0.22500000000000001</v>
      </c>
      <c r="G130" s="615">
        <v>0.22500000000000001</v>
      </c>
      <c r="H130" s="615">
        <v>0.22500000000000001</v>
      </c>
      <c r="I130" s="615">
        <v>0.22500000000000001</v>
      </c>
      <c r="J130" s="615">
        <v>0.22500000000000001</v>
      </c>
      <c r="K130" s="615">
        <v>0.22500000000000001</v>
      </c>
      <c r="L130" s="615">
        <v>0.22500000000000001</v>
      </c>
      <c r="M130" s="615">
        <v>0.22500000000000001</v>
      </c>
      <c r="N130" s="596"/>
    </row>
    <row r="131" spans="1:18" ht="13.5" thickBot="1" x14ac:dyDescent="0.25">
      <c r="A131" s="594">
        <f t="shared" ref="A131:M131" si="40">A129*A130</f>
        <v>138981003.52500001</v>
      </c>
      <c r="B131" s="603">
        <f t="shared" si="40"/>
        <v>6486133.2602839535</v>
      </c>
      <c r="C131" s="603">
        <f t="shared" si="40"/>
        <v>12243398.61030362</v>
      </c>
      <c r="D131" s="603">
        <f t="shared" si="40"/>
        <v>10980501.49403598</v>
      </c>
      <c r="E131" s="603">
        <f t="shared" si="40"/>
        <v>13197600.275606927</v>
      </c>
      <c r="F131" s="603">
        <f t="shared" si="40"/>
        <v>13446551.714555243</v>
      </c>
      <c r="G131" s="603">
        <f t="shared" si="40"/>
        <v>20408289.849700619</v>
      </c>
      <c r="H131" s="603">
        <f t="shared" si="40"/>
        <v>14057321.107857471</v>
      </c>
      <c r="I131" s="603">
        <f t="shared" si="40"/>
        <v>7899893.295658689</v>
      </c>
      <c r="J131" s="603">
        <f t="shared" si="40"/>
        <v>9476012.2433546819</v>
      </c>
      <c r="K131" s="603">
        <f t="shared" si="40"/>
        <v>9583502.3128181733</v>
      </c>
      <c r="L131" s="603">
        <f t="shared" si="40"/>
        <v>9481013.7157790679</v>
      </c>
      <c r="M131" s="603">
        <f t="shared" si="40"/>
        <v>11720785.645045575</v>
      </c>
      <c r="N131" s="596">
        <f>SUM(B131)</f>
        <v>6486133.2602839535</v>
      </c>
      <c r="P131" s="509"/>
      <c r="Q131" s="625"/>
      <c r="R131" s="509"/>
    </row>
    <row r="132" spans="1:18" ht="13.5" thickBot="1" x14ac:dyDescent="0.25">
      <c r="A132" s="606" t="s">
        <v>364</v>
      </c>
      <c r="P132" s="509"/>
    </row>
    <row r="133" spans="1:18" x14ac:dyDescent="0.2">
      <c r="P133" s="509"/>
    </row>
    <row r="135" spans="1:18" x14ac:dyDescent="0.2">
      <c r="A135" s="1312" t="s">
        <v>421</v>
      </c>
      <c r="B135" s="1312"/>
      <c r="C135" s="1312"/>
      <c r="D135" s="1312"/>
      <c r="E135" s="1312"/>
      <c r="F135" s="1312"/>
      <c r="G135" s="1312"/>
      <c r="H135" s="1312"/>
      <c r="I135" s="1312"/>
      <c r="J135" s="1312"/>
      <c r="K135" s="1312"/>
      <c r="L135" s="1312"/>
      <c r="M135" s="1312"/>
    </row>
    <row r="136" spans="1:18" ht="13.5" thickBot="1" x14ac:dyDescent="0.25">
      <c r="P136" s="533"/>
    </row>
    <row r="137" spans="1:18" ht="13.5" thickBot="1" x14ac:dyDescent="0.25">
      <c r="A137" s="592" t="s">
        <v>326</v>
      </c>
      <c r="B137" s="593" t="s">
        <v>1</v>
      </c>
      <c r="C137" s="593" t="s">
        <v>2</v>
      </c>
      <c r="D137" s="593" t="s">
        <v>3</v>
      </c>
      <c r="E137" s="593" t="s">
        <v>4</v>
      </c>
      <c r="F137" s="593" t="s">
        <v>5</v>
      </c>
      <c r="G137" s="593" t="s">
        <v>6</v>
      </c>
      <c r="H137" s="593" t="s">
        <v>7</v>
      </c>
      <c r="I137" s="593" t="s">
        <v>8</v>
      </c>
      <c r="J137" s="593" t="s">
        <v>9</v>
      </c>
      <c r="K137" s="593" t="s">
        <v>10</v>
      </c>
      <c r="L137" s="593" t="s">
        <v>11</v>
      </c>
      <c r="M137" s="593" t="s">
        <v>12</v>
      </c>
      <c r="P137" s="533"/>
    </row>
    <row r="138" spans="1:18" ht="13.5" thickBot="1" x14ac:dyDescent="0.25">
      <c r="A138" s="603">
        <f>B138+C138+D138+E138+F138+G138+H138+I138+J138+K138+L138+M138</f>
        <v>200000000</v>
      </c>
      <c r="B138" s="603">
        <v>12197871.890000001</v>
      </c>
      <c r="C138" s="603">
        <v>7270038.0499999998</v>
      </c>
      <c r="D138" s="603">
        <v>7514897.3300000001</v>
      </c>
      <c r="E138" s="603">
        <v>4642252.12</v>
      </c>
      <c r="F138" s="603">
        <v>19463561.210000001</v>
      </c>
      <c r="G138" s="603">
        <v>10555326.76</v>
      </c>
      <c r="H138" s="603">
        <v>12157672.890000001</v>
      </c>
      <c r="I138" s="603">
        <v>23266195.149999999</v>
      </c>
      <c r="J138" s="603">
        <v>77773324.659999996</v>
      </c>
      <c r="K138" s="603">
        <v>6062646.5700000003</v>
      </c>
      <c r="L138" s="603">
        <v>9376355.7799999993</v>
      </c>
      <c r="M138" s="626">
        <v>9719857.5899999999</v>
      </c>
      <c r="N138" s="627">
        <v>0</v>
      </c>
      <c r="P138" s="604"/>
    </row>
    <row r="139" spans="1:18" ht="13.5" thickBot="1" x14ac:dyDescent="0.25">
      <c r="A139" s="600">
        <v>0.2</v>
      </c>
      <c r="B139" s="615">
        <v>0.2</v>
      </c>
      <c r="C139" s="615">
        <v>0.2</v>
      </c>
      <c r="D139" s="615">
        <v>0.2</v>
      </c>
      <c r="E139" s="615">
        <v>0.2</v>
      </c>
      <c r="F139" s="615">
        <v>0.2</v>
      </c>
      <c r="G139" s="615">
        <v>0.2</v>
      </c>
      <c r="H139" s="615">
        <v>0.2</v>
      </c>
      <c r="I139" s="615">
        <v>0.2</v>
      </c>
      <c r="J139" s="615">
        <v>0.2</v>
      </c>
      <c r="K139" s="615">
        <v>0.2</v>
      </c>
      <c r="L139" s="615">
        <v>0.2</v>
      </c>
      <c r="M139" s="615">
        <v>0.2</v>
      </c>
      <c r="N139" s="627"/>
      <c r="P139" s="604"/>
    </row>
    <row r="140" spans="1:18" ht="13.5" thickBot="1" x14ac:dyDescent="0.25">
      <c r="A140" s="594">
        <f t="shared" ref="A140:M140" si="41">A138*A139</f>
        <v>40000000</v>
      </c>
      <c r="B140" s="603">
        <f t="shared" si="41"/>
        <v>2439574.378</v>
      </c>
      <c r="C140" s="603">
        <f t="shared" si="41"/>
        <v>1454007.61</v>
      </c>
      <c r="D140" s="603">
        <f t="shared" si="41"/>
        <v>1502979.466</v>
      </c>
      <c r="E140" s="603">
        <f t="shared" si="41"/>
        <v>928450.42400000012</v>
      </c>
      <c r="F140" s="603">
        <f t="shared" si="41"/>
        <v>3892712.2420000006</v>
      </c>
      <c r="G140" s="603">
        <f t="shared" si="41"/>
        <v>2111065.352</v>
      </c>
      <c r="H140" s="603">
        <f t="shared" si="41"/>
        <v>2431534.5780000002</v>
      </c>
      <c r="I140" s="603">
        <f t="shared" si="41"/>
        <v>4653239.03</v>
      </c>
      <c r="J140" s="603">
        <f t="shared" si="41"/>
        <v>15554664.932</v>
      </c>
      <c r="K140" s="603">
        <f t="shared" si="41"/>
        <v>1212529.314</v>
      </c>
      <c r="L140" s="603">
        <f t="shared" si="41"/>
        <v>1875271.156</v>
      </c>
      <c r="M140" s="626">
        <f t="shared" si="41"/>
        <v>1943971.5180000002</v>
      </c>
      <c r="N140" s="627">
        <f>SUM(B140)</f>
        <v>2439574.378</v>
      </c>
      <c r="P140" s="604"/>
    </row>
    <row r="141" spans="1:18" x14ac:dyDescent="0.2">
      <c r="C141" s="607"/>
      <c r="D141" s="607"/>
      <c r="E141" s="607"/>
      <c r="F141" s="607"/>
      <c r="G141" s="607"/>
      <c r="P141" s="604"/>
    </row>
    <row r="142" spans="1:18" x14ac:dyDescent="0.2">
      <c r="D142" s="607"/>
      <c r="P142" s="604"/>
    </row>
    <row r="143" spans="1:18" x14ac:dyDescent="0.2">
      <c r="P143" s="604"/>
    </row>
    <row r="144" spans="1:18" x14ac:dyDescent="0.2">
      <c r="A144" s="1312" t="s">
        <v>422</v>
      </c>
      <c r="B144" s="1312"/>
      <c r="C144" s="1312"/>
      <c r="D144" s="1312"/>
      <c r="E144" s="1312"/>
      <c r="F144" s="1312"/>
      <c r="G144" s="1312"/>
      <c r="H144" s="1312"/>
      <c r="I144" s="1312"/>
      <c r="J144" s="1312"/>
      <c r="K144" s="1312"/>
      <c r="L144" s="1312"/>
      <c r="M144" s="1312"/>
      <c r="P144" s="604"/>
    </row>
    <row r="145" spans="1:18" ht="13.5" thickBot="1" x14ac:dyDescent="0.25">
      <c r="A145" s="1313" t="s">
        <v>329</v>
      </c>
      <c r="B145" s="1308"/>
      <c r="C145" s="1308"/>
      <c r="D145" s="1308"/>
      <c r="E145" s="1308"/>
      <c r="F145" s="1308"/>
      <c r="G145" s="1308"/>
      <c r="H145" s="1308"/>
      <c r="I145" s="1308"/>
      <c r="J145" s="1308"/>
      <c r="K145" s="1308"/>
      <c r="L145" s="1308"/>
      <c r="M145" s="1308"/>
      <c r="P145" s="604"/>
    </row>
    <row r="146" spans="1:18" ht="13.5" thickBot="1" x14ac:dyDescent="0.25">
      <c r="A146" s="592" t="s">
        <v>326</v>
      </c>
      <c r="B146" s="593" t="s">
        <v>1</v>
      </c>
      <c r="C146" s="593" t="s">
        <v>2</v>
      </c>
      <c r="D146" s="593" t="s">
        <v>3</v>
      </c>
      <c r="E146" s="593" t="s">
        <v>4</v>
      </c>
      <c r="F146" s="593" t="s">
        <v>5</v>
      </c>
      <c r="G146" s="593" t="s">
        <v>6</v>
      </c>
      <c r="H146" s="593" t="s">
        <v>7</v>
      </c>
      <c r="I146" s="593" t="s">
        <v>8</v>
      </c>
      <c r="J146" s="593" t="s">
        <v>9</v>
      </c>
      <c r="K146" s="593" t="s">
        <v>10</v>
      </c>
      <c r="L146" s="593" t="s">
        <v>11</v>
      </c>
      <c r="M146" s="593" t="s">
        <v>12</v>
      </c>
      <c r="P146" s="604"/>
    </row>
    <row r="147" spans="1:18" ht="13.5" thickBot="1" x14ac:dyDescent="0.25">
      <c r="A147" s="628">
        <f>SUM(B147:M147)</f>
        <v>11119577</v>
      </c>
      <c r="B147" s="603">
        <v>352267</v>
      </c>
      <c r="C147" s="603">
        <v>2212432</v>
      </c>
      <c r="D147" s="603">
        <v>1856288</v>
      </c>
      <c r="E147" s="603">
        <v>1606584</v>
      </c>
      <c r="F147" s="603">
        <v>891771</v>
      </c>
      <c r="G147" s="603">
        <v>533602</v>
      </c>
      <c r="H147" s="603">
        <v>741942</v>
      </c>
      <c r="I147" s="603">
        <v>676562</v>
      </c>
      <c r="J147" s="603">
        <v>458600</v>
      </c>
      <c r="K147" s="603">
        <v>487749</v>
      </c>
      <c r="L147" s="603">
        <v>671499</v>
      </c>
      <c r="M147" s="603">
        <v>630281</v>
      </c>
      <c r="N147" s="509"/>
      <c r="O147" s="509"/>
      <c r="P147" s="604"/>
    </row>
    <row r="148" spans="1:18" ht="13.5" thickBot="1" x14ac:dyDescent="0.25">
      <c r="A148" s="629">
        <f>SUM(B148:M148)</f>
        <v>472884</v>
      </c>
      <c r="B148" s="603">
        <v>361</v>
      </c>
      <c r="C148" s="603">
        <v>84840</v>
      </c>
      <c r="D148" s="603">
        <v>77553</v>
      </c>
      <c r="E148" s="603">
        <v>71386</v>
      </c>
      <c r="F148" s="603">
        <v>60645</v>
      </c>
      <c r="G148" s="603">
        <v>33416</v>
      </c>
      <c r="H148" s="603">
        <v>31019</v>
      </c>
      <c r="I148" s="603">
        <v>27055</v>
      </c>
      <c r="J148" s="603">
        <v>24161</v>
      </c>
      <c r="K148" s="603">
        <v>8024</v>
      </c>
      <c r="L148" s="603">
        <v>7135</v>
      </c>
      <c r="M148" s="603">
        <v>47289</v>
      </c>
      <c r="N148" s="509"/>
      <c r="O148" s="509"/>
      <c r="P148" s="509"/>
    </row>
    <row r="149" spans="1:18" ht="13.5" thickBot="1" x14ac:dyDescent="0.25">
      <c r="A149" s="629">
        <f>SUM(B149:M149)</f>
        <v>8270693</v>
      </c>
      <c r="B149" s="603">
        <v>671048</v>
      </c>
      <c r="C149" s="603">
        <v>579886</v>
      </c>
      <c r="D149" s="603">
        <v>662325</v>
      </c>
      <c r="E149" s="603">
        <v>536128</v>
      </c>
      <c r="F149" s="603">
        <v>767411</v>
      </c>
      <c r="G149" s="603">
        <v>812212</v>
      </c>
      <c r="H149" s="603">
        <v>575432</v>
      </c>
      <c r="I149" s="603">
        <v>1023893</v>
      </c>
      <c r="J149" s="603">
        <v>567917</v>
      </c>
      <c r="K149" s="603">
        <v>708814</v>
      </c>
      <c r="L149" s="603">
        <v>707307</v>
      </c>
      <c r="M149" s="603">
        <v>658320</v>
      </c>
      <c r="N149" s="509"/>
      <c r="O149" s="509"/>
    </row>
    <row r="150" spans="1:18" ht="13.5" thickBot="1" x14ac:dyDescent="0.25">
      <c r="A150" s="630" t="s">
        <v>330</v>
      </c>
      <c r="N150" s="509"/>
    </row>
    <row r="151" spans="1:18" ht="13.5" thickBot="1" x14ac:dyDescent="0.25">
      <c r="A151" s="631">
        <f>SUM(B151:M151)</f>
        <v>19863154</v>
      </c>
      <c r="B151" s="632">
        <f>SUM(B147:B149)</f>
        <v>1023676</v>
      </c>
      <c r="C151" s="632">
        <f t="shared" ref="C151:M151" si="42">SUM(C147:C149)</f>
        <v>2877158</v>
      </c>
      <c r="D151" s="632">
        <f t="shared" si="42"/>
        <v>2596166</v>
      </c>
      <c r="E151" s="632">
        <f t="shared" si="42"/>
        <v>2214098</v>
      </c>
      <c r="F151" s="632">
        <f t="shared" si="42"/>
        <v>1719827</v>
      </c>
      <c r="G151" s="632">
        <f t="shared" si="42"/>
        <v>1379230</v>
      </c>
      <c r="H151" s="632">
        <f t="shared" si="42"/>
        <v>1348393</v>
      </c>
      <c r="I151" s="632">
        <f t="shared" si="42"/>
        <v>1727510</v>
      </c>
      <c r="J151" s="632">
        <f t="shared" si="42"/>
        <v>1050678</v>
      </c>
      <c r="K151" s="632">
        <f t="shared" si="42"/>
        <v>1204587</v>
      </c>
      <c r="L151" s="632">
        <f t="shared" si="42"/>
        <v>1385941</v>
      </c>
      <c r="M151" s="632">
        <f t="shared" si="42"/>
        <v>1335890</v>
      </c>
      <c r="N151" s="627">
        <f>SUM(B151)</f>
        <v>1023676</v>
      </c>
    </row>
    <row r="152" spans="1:18" x14ac:dyDescent="0.2">
      <c r="N152" s="633"/>
    </row>
    <row r="153" spans="1:18" x14ac:dyDescent="0.2">
      <c r="A153" s="618"/>
      <c r="N153" s="605"/>
    </row>
    <row r="154" spans="1:18" x14ac:dyDescent="0.2">
      <c r="A154" s="1312" t="s">
        <v>423</v>
      </c>
      <c r="B154" s="1312"/>
      <c r="C154" s="1312"/>
      <c r="D154" s="1312"/>
      <c r="E154" s="1312"/>
      <c r="F154" s="1312"/>
      <c r="G154" s="1312"/>
      <c r="H154" s="1312"/>
      <c r="I154" s="1312"/>
      <c r="J154" s="1312"/>
      <c r="K154" s="1312"/>
      <c r="L154" s="1312"/>
      <c r="M154" s="1312"/>
      <c r="N154" s="605"/>
      <c r="O154" s="1314" t="s">
        <v>485</v>
      </c>
      <c r="P154" s="1314"/>
      <c r="Q154" s="1314"/>
      <c r="R154" s="1314"/>
    </row>
    <row r="155" spans="1:18" ht="13.5" thickBot="1" x14ac:dyDescent="0.25">
      <c r="N155" s="605"/>
      <c r="O155" s="1314"/>
      <c r="P155" s="1314"/>
      <c r="Q155" s="1314"/>
      <c r="R155" s="1314"/>
    </row>
    <row r="156" spans="1:18" ht="13.5" thickBot="1" x14ac:dyDescent="0.25">
      <c r="A156" s="592" t="s">
        <v>326</v>
      </c>
      <c r="B156" s="593" t="s">
        <v>1</v>
      </c>
      <c r="C156" s="593" t="s">
        <v>2</v>
      </c>
      <c r="D156" s="593" t="s">
        <v>3</v>
      </c>
      <c r="E156" s="593" t="s">
        <v>4</v>
      </c>
      <c r="F156" s="593" t="s">
        <v>5</v>
      </c>
      <c r="G156" s="593" t="s">
        <v>6</v>
      </c>
      <c r="H156" s="593" t="s">
        <v>7</v>
      </c>
      <c r="I156" s="593" t="s">
        <v>8</v>
      </c>
      <c r="J156" s="593" t="s">
        <v>9</v>
      </c>
      <c r="K156" s="593" t="s">
        <v>10</v>
      </c>
      <c r="L156" s="593" t="s">
        <v>11</v>
      </c>
      <c r="M156" s="593" t="s">
        <v>12</v>
      </c>
      <c r="N156" s="634"/>
      <c r="O156" s="1314"/>
      <c r="P156" s="1314"/>
      <c r="Q156" s="1314"/>
      <c r="R156" s="1314"/>
    </row>
    <row r="157" spans="1:18" ht="13.5" thickBot="1" x14ac:dyDescent="0.25">
      <c r="A157" s="627">
        <f>B157+C157+D157+E157+F157+G157+H157+I157+J157+K157+L157+M157</f>
        <v>1406966639</v>
      </c>
      <c r="B157" s="627">
        <v>140696664</v>
      </c>
      <c r="C157" s="627">
        <v>140696664</v>
      </c>
      <c r="D157" s="627">
        <v>140696664</v>
      </c>
      <c r="E157" s="627">
        <v>140696664</v>
      </c>
      <c r="F157" s="627">
        <v>140696664</v>
      </c>
      <c r="G157" s="627">
        <v>140696664</v>
      </c>
      <c r="H157" s="627">
        <v>140696664</v>
      </c>
      <c r="I157" s="627">
        <v>140696664</v>
      </c>
      <c r="J157" s="627">
        <v>140696664</v>
      </c>
      <c r="K157" s="627">
        <v>140696663</v>
      </c>
      <c r="L157" s="627">
        <v>0</v>
      </c>
      <c r="M157" s="627">
        <v>0</v>
      </c>
      <c r="N157" s="627">
        <f>SUM(B157)</f>
        <v>140696664</v>
      </c>
      <c r="O157" s="1314"/>
      <c r="P157" s="1314"/>
      <c r="Q157" s="1314"/>
      <c r="R157" s="1314"/>
    </row>
    <row r="158" spans="1:18" x14ac:dyDescent="0.2">
      <c r="N158" s="633"/>
      <c r="O158" s="1314"/>
      <c r="P158" s="1314"/>
      <c r="Q158" s="1314"/>
      <c r="R158" s="1314"/>
    </row>
    <row r="159" spans="1:18" x14ac:dyDescent="0.2">
      <c r="A159" s="618"/>
      <c r="N159" s="605"/>
      <c r="O159" s="1314"/>
      <c r="P159" s="1314"/>
      <c r="Q159" s="1314"/>
      <c r="R159" s="1314"/>
    </row>
    <row r="160" spans="1:18" x14ac:dyDescent="0.2">
      <c r="A160" s="1312" t="s">
        <v>424</v>
      </c>
      <c r="B160" s="1312"/>
      <c r="C160" s="1312"/>
      <c r="D160" s="1312"/>
      <c r="E160" s="1312"/>
      <c r="F160" s="1312"/>
      <c r="G160" s="1312"/>
      <c r="H160" s="1312"/>
      <c r="I160" s="1312"/>
      <c r="J160" s="1312"/>
      <c r="K160" s="1312"/>
      <c r="L160" s="1312"/>
      <c r="M160" s="1312"/>
      <c r="N160" s="605"/>
      <c r="O160" s="1314"/>
      <c r="P160" s="1314"/>
      <c r="Q160" s="1314"/>
      <c r="R160" s="1314"/>
    </row>
    <row r="161" spans="1:18" ht="13.5" thickBot="1" x14ac:dyDescent="0.25">
      <c r="N161" s="605"/>
      <c r="O161" s="1314"/>
      <c r="P161" s="1314"/>
      <c r="Q161" s="1314"/>
      <c r="R161" s="1314"/>
    </row>
    <row r="162" spans="1:18" ht="13.5" thickBot="1" x14ac:dyDescent="0.25">
      <c r="A162" s="592" t="s">
        <v>326</v>
      </c>
      <c r="B162" s="593" t="s">
        <v>1</v>
      </c>
      <c r="C162" s="593" t="s">
        <v>2</v>
      </c>
      <c r="D162" s="593" t="s">
        <v>3</v>
      </c>
      <c r="E162" s="593" t="s">
        <v>4</v>
      </c>
      <c r="F162" s="593" t="s">
        <v>5</v>
      </c>
      <c r="G162" s="593" t="s">
        <v>6</v>
      </c>
      <c r="H162" s="593" t="s">
        <v>7</v>
      </c>
      <c r="I162" s="593" t="s">
        <v>8</v>
      </c>
      <c r="J162" s="593" t="s">
        <v>9</v>
      </c>
      <c r="K162" s="593" t="s">
        <v>10</v>
      </c>
      <c r="L162" s="593" t="s">
        <v>11</v>
      </c>
      <c r="M162" s="593" t="s">
        <v>12</v>
      </c>
      <c r="N162" s="634"/>
      <c r="O162" s="1314"/>
      <c r="P162" s="1314"/>
      <c r="Q162" s="1314"/>
      <c r="R162" s="1314"/>
    </row>
    <row r="163" spans="1:18" ht="13.5" thickBot="1" x14ac:dyDescent="0.25">
      <c r="A163" s="627">
        <f>B163+C163+D163+E163+F163+G163+H163+I163+J163+K163+L163+M163</f>
        <v>1092434877</v>
      </c>
      <c r="B163" s="627">
        <v>91036240</v>
      </c>
      <c r="C163" s="627">
        <v>91036240</v>
      </c>
      <c r="D163" s="627">
        <v>91036240</v>
      </c>
      <c r="E163" s="627">
        <v>91036240</v>
      </c>
      <c r="F163" s="627">
        <v>91036240</v>
      </c>
      <c r="G163" s="627">
        <v>91036240</v>
      </c>
      <c r="H163" s="627">
        <v>91036240</v>
      </c>
      <c r="I163" s="627">
        <v>91036240</v>
      </c>
      <c r="J163" s="627">
        <v>91036240</v>
      </c>
      <c r="K163" s="627">
        <v>91036240</v>
      </c>
      <c r="L163" s="627">
        <v>91036240</v>
      </c>
      <c r="M163" s="627">
        <v>91036237</v>
      </c>
      <c r="N163" s="627">
        <f>SUM(B163)</f>
        <v>91036240</v>
      </c>
    </row>
    <row r="164" spans="1:18" ht="13.5" thickBot="1" x14ac:dyDescent="0.25"/>
    <row r="165" spans="1:18" ht="13.5" thickBot="1" x14ac:dyDescent="0.25">
      <c r="C165" s="635"/>
      <c r="L165" s="636" t="s">
        <v>331</v>
      </c>
      <c r="M165" s="637"/>
      <c r="N165" s="638" t="e">
        <f>N10+N22+N36+N47+N59+#REF!+N108+N119+N129</f>
        <v>#REF!</v>
      </c>
    </row>
    <row r="166" spans="1:18" ht="13.5" thickBot="1" x14ac:dyDescent="0.25">
      <c r="B166" s="607"/>
      <c r="C166" s="607"/>
      <c r="E166" s="607"/>
      <c r="L166" s="630"/>
      <c r="M166" s="630"/>
      <c r="N166" s="639"/>
    </row>
    <row r="167" spans="1:18" ht="13.5" thickBot="1" x14ac:dyDescent="0.25">
      <c r="C167" s="607"/>
      <c r="E167" s="607"/>
      <c r="L167" s="636" t="s">
        <v>332</v>
      </c>
      <c r="M167" s="637"/>
      <c r="N167" s="638">
        <f>N13+N22+N38+N61+N49+N110+N85+N97+N151+N157+N163+N140</f>
        <v>505342551.71730918</v>
      </c>
    </row>
    <row r="169" spans="1:18" x14ac:dyDescent="0.2">
      <c r="A169" s="509">
        <f>SUM(B169:M169)</f>
        <v>13095027267</v>
      </c>
      <c r="B169" s="607">
        <f t="shared" ref="B169:M169" si="43">B10+B22+B36+B59+B47+B108+B83+B95+B119+B129</f>
        <v>1030298506.2263867</v>
      </c>
      <c r="C169" s="607">
        <f t="shared" si="43"/>
        <v>1291749755.5273232</v>
      </c>
      <c r="D169" s="607">
        <f t="shared" si="43"/>
        <v>973156594.49313021</v>
      </c>
      <c r="E169" s="607">
        <f t="shared" si="43"/>
        <v>1382379301.1206551</v>
      </c>
      <c r="F169" s="607">
        <f t="shared" si="43"/>
        <v>1131800029.5260634</v>
      </c>
      <c r="G169" s="607">
        <f t="shared" si="43"/>
        <v>1177763528.5109038</v>
      </c>
      <c r="H169" s="607">
        <f t="shared" si="43"/>
        <v>1118399174.0995476</v>
      </c>
      <c r="I169" s="607">
        <f t="shared" si="43"/>
        <v>1048044712.2816565</v>
      </c>
      <c r="J169" s="607">
        <f t="shared" si="43"/>
        <v>1002721465.1799208</v>
      </c>
      <c r="K169" s="607">
        <f t="shared" si="43"/>
        <v>956064614.05868173</v>
      </c>
      <c r="L169" s="607">
        <f t="shared" si="43"/>
        <v>985810414.18633139</v>
      </c>
      <c r="M169" s="607">
        <f t="shared" si="43"/>
        <v>996839171.78939962</v>
      </c>
    </row>
    <row r="171" spans="1:18" x14ac:dyDescent="0.2">
      <c r="A171" s="509">
        <f>SUM(B171:M171)</f>
        <v>3518550712.7450004</v>
      </c>
      <c r="B171" s="607">
        <f t="shared" ref="B171:M171" si="44">B13+B22+B38+B61+B49+B110+B85+B97+B121+B131</f>
        <v>276806553.69959313</v>
      </c>
      <c r="C171" s="607">
        <f t="shared" si="44"/>
        <v>348683807.95668179</v>
      </c>
      <c r="D171" s="607">
        <f t="shared" si="44"/>
        <v>262187182.34693095</v>
      </c>
      <c r="E171" s="607">
        <f t="shared" si="44"/>
        <v>370969152.86012185</v>
      </c>
      <c r="F171" s="607">
        <f t="shared" si="44"/>
        <v>305170425.47929168</v>
      </c>
      <c r="G171" s="607">
        <f t="shared" si="44"/>
        <v>316135913.90093207</v>
      </c>
      <c r="H171" s="607">
        <f t="shared" si="44"/>
        <v>297574610.97385216</v>
      </c>
      <c r="I171" s="607">
        <f t="shared" si="44"/>
        <v>283105456.29194242</v>
      </c>
      <c r="J171" s="607">
        <f t="shared" si="44"/>
        <v>270287906.91340959</v>
      </c>
      <c r="K171" s="607">
        <f t="shared" si="44"/>
        <v>253743406.01352593</v>
      </c>
      <c r="L171" s="607">
        <f t="shared" si="44"/>
        <v>265780859.97049326</v>
      </c>
      <c r="M171" s="607">
        <f t="shared" si="44"/>
        <v>268105436.33822525</v>
      </c>
    </row>
    <row r="174" spans="1:18" ht="13.5" thickBot="1" x14ac:dyDescent="0.25">
      <c r="A174" s="1304" t="s">
        <v>325</v>
      </c>
      <c r="B174" s="1304"/>
      <c r="C174" s="1304"/>
      <c r="D174" s="1304"/>
      <c r="E174" s="1304"/>
      <c r="F174" s="1304"/>
      <c r="G174" s="1304"/>
      <c r="H174" s="1304"/>
      <c r="I174" s="1304"/>
      <c r="J174" s="1304"/>
      <c r="K174" s="1304"/>
      <c r="L174" s="1304"/>
      <c r="M174" s="1304"/>
    </row>
    <row r="175" spans="1:18" ht="13.5" thickBot="1" x14ac:dyDescent="0.25">
      <c r="A175" s="1305" t="s">
        <v>425</v>
      </c>
      <c r="B175" s="1306"/>
      <c r="C175" s="1306"/>
      <c r="D175" s="1306"/>
      <c r="E175" s="1306"/>
      <c r="F175" s="1306"/>
      <c r="G175" s="1306"/>
      <c r="H175" s="1306"/>
      <c r="I175" s="1306"/>
      <c r="J175" s="1306"/>
      <c r="K175" s="1306"/>
      <c r="L175" s="1306"/>
      <c r="M175" s="1307"/>
      <c r="N175" s="622"/>
    </row>
    <row r="176" spans="1:18" ht="13.5" thickBot="1" x14ac:dyDescent="0.25">
      <c r="A176" s="623">
        <f>SUM(B176:M176)</f>
        <v>0</v>
      </c>
      <c r="B176" s="624">
        <f>'[5]X22.55 DOF'!B167</f>
        <v>0</v>
      </c>
      <c r="C176" s="624">
        <f>'[5]X22.55 DOF'!C167</f>
        <v>0</v>
      </c>
      <c r="D176" s="624">
        <f>'[5]X22.55 DOF'!D167</f>
        <v>0</v>
      </c>
      <c r="E176" s="624">
        <f>'[5]X22.55 DOF'!E167</f>
        <v>0</v>
      </c>
      <c r="F176" s="624">
        <f>'[5]X22.55 DOF'!F167</f>
        <v>0</v>
      </c>
      <c r="G176" s="624">
        <f>'[5]X22.55 DOF'!G167</f>
        <v>0</v>
      </c>
      <c r="H176" s="624">
        <f>'[5]X22.55 DOF'!H167</f>
        <v>0</v>
      </c>
      <c r="I176" s="624">
        <f>'[5]X22.55 DOF'!I167</f>
        <v>0</v>
      </c>
      <c r="J176" s="624">
        <f>'[5]X22.55 DOF'!J167</f>
        <v>0</v>
      </c>
      <c r="K176" s="624">
        <f>'[5]X22.55 DOF'!K167</f>
        <v>0</v>
      </c>
      <c r="L176" s="624">
        <f>'[5]X22.55 DOF'!L167</f>
        <v>0</v>
      </c>
      <c r="M176" s="624">
        <f>'[5]X22.55 DOF'!M167</f>
        <v>0</v>
      </c>
      <c r="N176" s="622"/>
    </row>
    <row r="177" spans="1:14" ht="13.5" thickBot="1" x14ac:dyDescent="0.25">
      <c r="A177" s="592" t="s">
        <v>167</v>
      </c>
      <c r="B177" s="593" t="s">
        <v>1</v>
      </c>
      <c r="C177" s="593" t="s">
        <v>2</v>
      </c>
      <c r="D177" s="593" t="s">
        <v>3</v>
      </c>
      <c r="E177" s="593" t="s">
        <v>4</v>
      </c>
      <c r="F177" s="593" t="s">
        <v>5</v>
      </c>
      <c r="G177" s="593" t="s">
        <v>6</v>
      </c>
      <c r="H177" s="593" t="s">
        <v>7</v>
      </c>
      <c r="I177" s="593" t="s">
        <v>8</v>
      </c>
      <c r="J177" s="593" t="s">
        <v>9</v>
      </c>
      <c r="K177" s="593" t="s">
        <v>10</v>
      </c>
      <c r="L177" s="593" t="s">
        <v>11</v>
      </c>
      <c r="M177" s="593" t="s">
        <v>12</v>
      </c>
      <c r="N177" s="622"/>
    </row>
    <row r="178" spans="1:14" ht="13.5" thickBot="1" x14ac:dyDescent="0.25">
      <c r="A178" s="751" t="s">
        <v>355</v>
      </c>
      <c r="B178" s="620">
        <v>30660225</v>
      </c>
      <c r="C178" s="620">
        <v>6040453</v>
      </c>
      <c r="D178" s="620">
        <v>4322780</v>
      </c>
      <c r="E178" s="620">
        <v>13458070</v>
      </c>
      <c r="F178" s="620">
        <v>38693636</v>
      </c>
      <c r="G178" s="620">
        <v>19417999</v>
      </c>
      <c r="H178" s="620">
        <v>19217967</v>
      </c>
      <c r="I178" s="620">
        <v>13309077</v>
      </c>
      <c r="J178" s="620">
        <v>11546749</v>
      </c>
      <c r="K178" s="620">
        <v>10219109</v>
      </c>
      <c r="L178" s="620">
        <v>12878645</v>
      </c>
      <c r="M178" s="620">
        <v>13086281</v>
      </c>
      <c r="N178" s="596">
        <f>SUM(B178:M178)</f>
        <v>192850991</v>
      </c>
    </row>
    <row r="179" spans="1:14" ht="13.5" thickBot="1" x14ac:dyDescent="0.25">
      <c r="A179" s="526" t="s">
        <v>354</v>
      </c>
      <c r="B179" s="600">
        <v>0.2</v>
      </c>
      <c r="C179" s="600">
        <v>0.2</v>
      </c>
      <c r="D179" s="600">
        <v>0.2</v>
      </c>
      <c r="E179" s="600">
        <v>0.2</v>
      </c>
      <c r="F179" s="600">
        <v>0.2</v>
      </c>
      <c r="G179" s="600">
        <v>0.2</v>
      </c>
      <c r="H179" s="600">
        <v>0.2</v>
      </c>
      <c r="I179" s="600">
        <v>0.2</v>
      </c>
      <c r="J179" s="600">
        <v>0.2</v>
      </c>
      <c r="K179" s="600">
        <v>0.2</v>
      </c>
      <c r="L179" s="600">
        <v>0.2</v>
      </c>
      <c r="M179" s="600">
        <v>0.2</v>
      </c>
      <c r="N179" s="596"/>
    </row>
    <row r="180" spans="1:14" ht="13.5" thickBot="1" x14ac:dyDescent="0.25">
      <c r="A180" s="751" t="s">
        <v>356</v>
      </c>
      <c r="B180" s="603">
        <f t="shared" ref="B180:M180" si="45">B178*B179</f>
        <v>6132045</v>
      </c>
      <c r="C180" s="603">
        <f t="shared" si="45"/>
        <v>1208090.6000000001</v>
      </c>
      <c r="D180" s="603">
        <f t="shared" si="45"/>
        <v>864556</v>
      </c>
      <c r="E180" s="603">
        <f t="shared" si="45"/>
        <v>2691614</v>
      </c>
      <c r="F180" s="603">
        <f t="shared" si="45"/>
        <v>7738727.2000000002</v>
      </c>
      <c r="G180" s="603">
        <f t="shared" si="45"/>
        <v>3883599.8000000003</v>
      </c>
      <c r="H180" s="603">
        <f t="shared" si="45"/>
        <v>3843593.4000000004</v>
      </c>
      <c r="I180" s="603">
        <f t="shared" si="45"/>
        <v>2661815.4000000004</v>
      </c>
      <c r="J180" s="603">
        <f t="shared" si="45"/>
        <v>2309349.8000000003</v>
      </c>
      <c r="K180" s="603">
        <f t="shared" si="45"/>
        <v>2043821.8</v>
      </c>
      <c r="L180" s="603">
        <f t="shared" si="45"/>
        <v>2575729</v>
      </c>
      <c r="M180" s="603">
        <f t="shared" si="45"/>
        <v>2617256.2000000002</v>
      </c>
      <c r="N180" s="596">
        <f>SUM(B180:M180)</f>
        <v>38570198.200000003</v>
      </c>
    </row>
    <row r="181" spans="1:14" ht="13.5" thickBot="1" x14ac:dyDescent="0.25">
      <c r="A181" s="760" t="s">
        <v>346</v>
      </c>
      <c r="B181" s="752">
        <f>B180/$N$180*100</f>
        <v>15.898401579901655</v>
      </c>
      <c r="C181" s="752">
        <f t="shared" ref="C181:M181" si="46">C180/$N$180*100</f>
        <v>3.1321866528546902</v>
      </c>
      <c r="D181" s="752">
        <f t="shared" si="46"/>
        <v>2.2415129824248607</v>
      </c>
      <c r="E181" s="752">
        <f t="shared" si="46"/>
        <v>6.9784811217278104</v>
      </c>
      <c r="F181" s="752">
        <f t="shared" si="46"/>
        <v>20.064006826908138</v>
      </c>
      <c r="G181" s="752">
        <f t="shared" si="46"/>
        <v>10.068913257490079</v>
      </c>
      <c r="H181" s="752">
        <f t="shared" si="46"/>
        <v>9.965189652564451</v>
      </c>
      <c r="I181" s="752">
        <f t="shared" si="46"/>
        <v>6.9012230276794391</v>
      </c>
      <c r="J181" s="752">
        <f t="shared" si="46"/>
        <v>5.9873941741891281</v>
      </c>
      <c r="K181" s="752">
        <f t="shared" si="46"/>
        <v>5.2989662884335393</v>
      </c>
      <c r="L181" s="752">
        <f t="shared" si="46"/>
        <v>6.6780289451558987</v>
      </c>
      <c r="M181" s="752">
        <f t="shared" si="46"/>
        <v>6.7856954906703066</v>
      </c>
    </row>
    <row r="182" spans="1:14" ht="14.25" thickTop="1" thickBot="1" x14ac:dyDescent="0.25">
      <c r="A182" s="761" t="s">
        <v>358</v>
      </c>
      <c r="B182" s="762">
        <f>$N$182*B181/100</f>
        <v>5564440.5529655786</v>
      </c>
      <c r="C182" s="762">
        <f t="shared" ref="C182:M182" si="47">$N$182*C181/100</f>
        <v>1096265.3284991416</v>
      </c>
      <c r="D182" s="762">
        <f t="shared" si="47"/>
        <v>784529.54384870129</v>
      </c>
      <c r="E182" s="762">
        <f t="shared" si="47"/>
        <v>2442468.3926047338</v>
      </c>
      <c r="F182" s="762">
        <f t="shared" si="47"/>
        <v>7022402.3894178485</v>
      </c>
      <c r="G182" s="762">
        <f t="shared" si="47"/>
        <v>3524119.6401215279</v>
      </c>
      <c r="H182" s="762">
        <f t="shared" si="47"/>
        <v>3487816.3783975579</v>
      </c>
      <c r="I182" s="762">
        <f t="shared" si="47"/>
        <v>2415428.0596878035</v>
      </c>
      <c r="J182" s="762">
        <f t="shared" si="47"/>
        <v>2095587.960966195</v>
      </c>
      <c r="K182" s="762">
        <f t="shared" si="47"/>
        <v>1854638.2009517387</v>
      </c>
      <c r="L182" s="762">
        <f t="shared" si="47"/>
        <v>2337310.1308045648</v>
      </c>
      <c r="M182" s="762">
        <f t="shared" si="47"/>
        <v>2374993.4217346073</v>
      </c>
      <c r="N182" s="763">
        <v>35000000</v>
      </c>
    </row>
    <row r="183" spans="1:14" ht="13.5" thickTop="1" x14ac:dyDescent="0.2"/>
  </sheetData>
  <mergeCells count="36">
    <mergeCell ref="A135:M135"/>
    <mergeCell ref="A144:M144"/>
    <mergeCell ref="A145:M145"/>
    <mergeCell ref="A154:M154"/>
    <mergeCell ref="O154:R162"/>
    <mergeCell ref="A160:M160"/>
    <mergeCell ref="A55:M55"/>
    <mergeCell ref="A66:M66"/>
    <mergeCell ref="A67:M67"/>
    <mergeCell ref="A78:M78"/>
    <mergeCell ref="A126:M126"/>
    <mergeCell ref="A90:M90"/>
    <mergeCell ref="A91:M91"/>
    <mergeCell ref="A101:M101"/>
    <mergeCell ref="A103:M103"/>
    <mergeCell ref="A104:M104"/>
    <mergeCell ref="A105:M105"/>
    <mergeCell ref="A115:M115"/>
    <mergeCell ref="A116:M116"/>
    <mergeCell ref="A125:M125"/>
    <mergeCell ref="A174:M174"/>
    <mergeCell ref="A175:M175"/>
    <mergeCell ref="A8:M8"/>
    <mergeCell ref="A1:M1"/>
    <mergeCell ref="A2:M2"/>
    <mergeCell ref="A3:M3"/>
    <mergeCell ref="A4:M4"/>
    <mergeCell ref="A5:M5"/>
    <mergeCell ref="A79:M79"/>
    <mergeCell ref="A17:M17"/>
    <mergeCell ref="A18:M18"/>
    <mergeCell ref="A31:M31"/>
    <mergeCell ref="A32:M32"/>
    <mergeCell ref="A42:M42"/>
    <mergeCell ref="A43:M43"/>
    <mergeCell ref="A54:M54"/>
  </mergeCells>
  <printOptions horizontalCentered="1"/>
  <pageMargins left="0.6692913385826772" right="0.31496062992125984" top="0.11811023622047245" bottom="0.31496062992125984" header="0" footer="0"/>
  <pageSetup paperSize="5" scale="87" fitToHeight="4"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rgb="FFFFFF00"/>
  </sheetPr>
  <dimension ref="A1:Z122"/>
  <sheetViews>
    <sheetView workbookViewId="0">
      <selection sqref="A1:M1"/>
    </sheetView>
  </sheetViews>
  <sheetFormatPr baseColWidth="10" defaultRowHeight="12.75" x14ac:dyDescent="0.2"/>
  <cols>
    <col min="1" max="1" width="16.42578125" style="500" bestFit="1" customWidth="1"/>
    <col min="2" max="2" width="13.7109375" style="500" bestFit="1" customWidth="1"/>
    <col min="3" max="3" width="15.28515625" style="500" bestFit="1" customWidth="1"/>
    <col min="4" max="4" width="13.7109375" style="500" bestFit="1" customWidth="1"/>
    <col min="5" max="5" width="15.28515625" style="500" bestFit="1" customWidth="1"/>
    <col min="6" max="12" width="13.7109375" style="500" bestFit="1" customWidth="1"/>
    <col min="13" max="13" width="13.7109375" style="500" customWidth="1"/>
    <col min="14" max="15" width="13.7109375" style="500" bestFit="1" customWidth="1"/>
    <col min="16" max="16" width="16.42578125" style="500" bestFit="1" customWidth="1"/>
    <col min="17" max="17" width="11.42578125" style="500"/>
    <col min="18" max="18" width="12.7109375" style="500" bestFit="1" customWidth="1"/>
    <col min="19" max="256" width="11.42578125" style="500"/>
    <col min="257" max="257" width="15.28515625" style="500" bestFit="1" customWidth="1"/>
    <col min="258" max="258" width="13.7109375" style="500" bestFit="1" customWidth="1"/>
    <col min="259" max="259" width="18.42578125" style="500" bestFit="1" customWidth="1"/>
    <col min="260" max="270" width="13.7109375" style="500" bestFit="1" customWidth="1"/>
    <col min="271" max="512" width="11.42578125" style="500"/>
    <col min="513" max="513" width="15.28515625" style="500" bestFit="1" customWidth="1"/>
    <col min="514" max="514" width="13.7109375" style="500" bestFit="1" customWidth="1"/>
    <col min="515" max="515" width="18.42578125" style="500" bestFit="1" customWidth="1"/>
    <col min="516" max="526" width="13.7109375" style="500" bestFit="1" customWidth="1"/>
    <col min="527" max="768" width="11.42578125" style="500"/>
    <col min="769" max="769" width="15.28515625" style="500" bestFit="1" customWidth="1"/>
    <col min="770" max="770" width="13.7109375" style="500" bestFit="1" customWidth="1"/>
    <col min="771" max="771" width="18.42578125" style="500" bestFit="1" customWidth="1"/>
    <col min="772" max="782" width="13.7109375" style="500" bestFit="1" customWidth="1"/>
    <col min="783" max="1024" width="11.42578125" style="500"/>
    <col min="1025" max="1025" width="15.28515625" style="500" bestFit="1" customWidth="1"/>
    <col min="1026" max="1026" width="13.7109375" style="500" bestFit="1" customWidth="1"/>
    <col min="1027" max="1027" width="18.42578125" style="500" bestFit="1" customWidth="1"/>
    <col min="1028" max="1038" width="13.7109375" style="500" bestFit="1" customWidth="1"/>
    <col min="1039" max="1280" width="11.42578125" style="500"/>
    <col min="1281" max="1281" width="15.28515625" style="500" bestFit="1" customWidth="1"/>
    <col min="1282" max="1282" width="13.7109375" style="500" bestFit="1" customWidth="1"/>
    <col min="1283" max="1283" width="18.42578125" style="500" bestFit="1" customWidth="1"/>
    <col min="1284" max="1294" width="13.7109375" style="500" bestFit="1" customWidth="1"/>
    <col min="1295" max="1536" width="11.42578125" style="500"/>
    <col min="1537" max="1537" width="15.28515625" style="500" bestFit="1" customWidth="1"/>
    <col min="1538" max="1538" width="13.7109375" style="500" bestFit="1" customWidth="1"/>
    <col min="1539" max="1539" width="18.42578125" style="500" bestFit="1" customWidth="1"/>
    <col min="1540" max="1550" width="13.7109375" style="500" bestFit="1" customWidth="1"/>
    <col min="1551" max="1792" width="11.42578125" style="500"/>
    <col min="1793" max="1793" width="15.28515625" style="500" bestFit="1" customWidth="1"/>
    <col min="1794" max="1794" width="13.7109375" style="500" bestFit="1" customWidth="1"/>
    <col min="1795" max="1795" width="18.42578125" style="500" bestFit="1" customWidth="1"/>
    <col min="1796" max="1806" width="13.7109375" style="500" bestFit="1" customWidth="1"/>
    <col min="1807" max="2048" width="11.42578125" style="500"/>
    <col min="2049" max="2049" width="15.28515625" style="500" bestFit="1" customWidth="1"/>
    <col min="2050" max="2050" width="13.7109375" style="500" bestFit="1" customWidth="1"/>
    <col min="2051" max="2051" width="18.42578125" style="500" bestFit="1" customWidth="1"/>
    <col min="2052" max="2062" width="13.7109375" style="500" bestFit="1" customWidth="1"/>
    <col min="2063" max="2304" width="11.42578125" style="500"/>
    <col min="2305" max="2305" width="15.28515625" style="500" bestFit="1" customWidth="1"/>
    <col min="2306" max="2306" width="13.7109375" style="500" bestFit="1" customWidth="1"/>
    <col min="2307" max="2307" width="18.42578125" style="500" bestFit="1" customWidth="1"/>
    <col min="2308" max="2318" width="13.7109375" style="500" bestFit="1" customWidth="1"/>
    <col min="2319" max="2560" width="11.42578125" style="500"/>
    <col min="2561" max="2561" width="15.28515625" style="500" bestFit="1" customWidth="1"/>
    <col min="2562" max="2562" width="13.7109375" style="500" bestFit="1" customWidth="1"/>
    <col min="2563" max="2563" width="18.42578125" style="500" bestFit="1" customWidth="1"/>
    <col min="2564" max="2574" width="13.7109375" style="500" bestFit="1" customWidth="1"/>
    <col min="2575" max="2816" width="11.42578125" style="500"/>
    <col min="2817" max="2817" width="15.28515625" style="500" bestFit="1" customWidth="1"/>
    <col min="2818" max="2818" width="13.7109375" style="500" bestFit="1" customWidth="1"/>
    <col min="2819" max="2819" width="18.42578125" style="500" bestFit="1" customWidth="1"/>
    <col min="2820" max="2830" width="13.7109375" style="500" bestFit="1" customWidth="1"/>
    <col min="2831" max="3072" width="11.42578125" style="500"/>
    <col min="3073" max="3073" width="15.28515625" style="500" bestFit="1" customWidth="1"/>
    <col min="3074" max="3074" width="13.7109375" style="500" bestFit="1" customWidth="1"/>
    <col min="3075" max="3075" width="18.42578125" style="500" bestFit="1" customWidth="1"/>
    <col min="3076" max="3086" width="13.7109375" style="500" bestFit="1" customWidth="1"/>
    <col min="3087" max="3328" width="11.42578125" style="500"/>
    <col min="3329" max="3329" width="15.28515625" style="500" bestFit="1" customWidth="1"/>
    <col min="3330" max="3330" width="13.7109375" style="500" bestFit="1" customWidth="1"/>
    <col min="3331" max="3331" width="18.42578125" style="500" bestFit="1" customWidth="1"/>
    <col min="3332" max="3342" width="13.7109375" style="500" bestFit="1" customWidth="1"/>
    <col min="3343" max="3584" width="11.42578125" style="500"/>
    <col min="3585" max="3585" width="15.28515625" style="500" bestFit="1" customWidth="1"/>
    <col min="3586" max="3586" width="13.7109375" style="500" bestFit="1" customWidth="1"/>
    <col min="3587" max="3587" width="18.42578125" style="500" bestFit="1" customWidth="1"/>
    <col min="3588" max="3598" width="13.7109375" style="500" bestFit="1" customWidth="1"/>
    <col min="3599" max="3840" width="11.42578125" style="500"/>
    <col min="3841" max="3841" width="15.28515625" style="500" bestFit="1" customWidth="1"/>
    <col min="3842" max="3842" width="13.7109375" style="500" bestFit="1" customWidth="1"/>
    <col min="3843" max="3843" width="18.42578125" style="500" bestFit="1" customWidth="1"/>
    <col min="3844" max="3854" width="13.7109375" style="500" bestFit="1" customWidth="1"/>
    <col min="3855" max="4096" width="11.42578125" style="500"/>
    <col min="4097" max="4097" width="15.28515625" style="500" bestFit="1" customWidth="1"/>
    <col min="4098" max="4098" width="13.7109375" style="500" bestFit="1" customWidth="1"/>
    <col min="4099" max="4099" width="18.42578125" style="500" bestFit="1" customWidth="1"/>
    <col min="4100" max="4110" width="13.7109375" style="500" bestFit="1" customWidth="1"/>
    <col min="4111" max="4352" width="11.42578125" style="500"/>
    <col min="4353" max="4353" width="15.28515625" style="500" bestFit="1" customWidth="1"/>
    <col min="4354" max="4354" width="13.7109375" style="500" bestFit="1" customWidth="1"/>
    <col min="4355" max="4355" width="18.42578125" style="500" bestFit="1" customWidth="1"/>
    <col min="4356" max="4366" width="13.7109375" style="500" bestFit="1" customWidth="1"/>
    <col min="4367" max="4608" width="11.42578125" style="500"/>
    <col min="4609" max="4609" width="15.28515625" style="500" bestFit="1" customWidth="1"/>
    <col min="4610" max="4610" width="13.7109375" style="500" bestFit="1" customWidth="1"/>
    <col min="4611" max="4611" width="18.42578125" style="500" bestFit="1" customWidth="1"/>
    <col min="4612" max="4622" width="13.7109375" style="500" bestFit="1" customWidth="1"/>
    <col min="4623" max="4864" width="11.42578125" style="500"/>
    <col min="4865" max="4865" width="15.28515625" style="500" bestFit="1" customWidth="1"/>
    <col min="4866" max="4866" width="13.7109375" style="500" bestFit="1" customWidth="1"/>
    <col min="4867" max="4867" width="18.42578125" style="500" bestFit="1" customWidth="1"/>
    <col min="4868" max="4878" width="13.7109375" style="500" bestFit="1" customWidth="1"/>
    <col min="4879" max="5120" width="11.42578125" style="500"/>
    <col min="5121" max="5121" width="15.28515625" style="500" bestFit="1" customWidth="1"/>
    <col min="5122" max="5122" width="13.7109375" style="500" bestFit="1" customWidth="1"/>
    <col min="5123" max="5123" width="18.42578125" style="500" bestFit="1" customWidth="1"/>
    <col min="5124" max="5134" width="13.7109375" style="500" bestFit="1" customWidth="1"/>
    <col min="5135" max="5376" width="11.42578125" style="500"/>
    <col min="5377" max="5377" width="15.28515625" style="500" bestFit="1" customWidth="1"/>
    <col min="5378" max="5378" width="13.7109375" style="500" bestFit="1" customWidth="1"/>
    <col min="5379" max="5379" width="18.42578125" style="500" bestFit="1" customWidth="1"/>
    <col min="5380" max="5390" width="13.7109375" style="500" bestFit="1" customWidth="1"/>
    <col min="5391" max="5632" width="11.42578125" style="500"/>
    <col min="5633" max="5633" width="15.28515625" style="500" bestFit="1" customWidth="1"/>
    <col min="5634" max="5634" width="13.7109375" style="500" bestFit="1" customWidth="1"/>
    <col min="5635" max="5635" width="18.42578125" style="500" bestFit="1" customWidth="1"/>
    <col min="5636" max="5646" width="13.7109375" style="500" bestFit="1" customWidth="1"/>
    <col min="5647" max="5888" width="11.42578125" style="500"/>
    <col min="5889" max="5889" width="15.28515625" style="500" bestFit="1" customWidth="1"/>
    <col min="5890" max="5890" width="13.7109375" style="500" bestFit="1" customWidth="1"/>
    <col min="5891" max="5891" width="18.42578125" style="500" bestFit="1" customWidth="1"/>
    <col min="5892" max="5902" width="13.7109375" style="500" bestFit="1" customWidth="1"/>
    <col min="5903" max="6144" width="11.42578125" style="500"/>
    <col min="6145" max="6145" width="15.28515625" style="500" bestFit="1" customWidth="1"/>
    <col min="6146" max="6146" width="13.7109375" style="500" bestFit="1" customWidth="1"/>
    <col min="6147" max="6147" width="18.42578125" style="500" bestFit="1" customWidth="1"/>
    <col min="6148" max="6158" width="13.7109375" style="500" bestFit="1" customWidth="1"/>
    <col min="6159" max="6400" width="11.42578125" style="500"/>
    <col min="6401" max="6401" width="15.28515625" style="500" bestFit="1" customWidth="1"/>
    <col min="6402" max="6402" width="13.7109375" style="500" bestFit="1" customWidth="1"/>
    <col min="6403" max="6403" width="18.42578125" style="500" bestFit="1" customWidth="1"/>
    <col min="6404" max="6414" width="13.7109375" style="500" bestFit="1" customWidth="1"/>
    <col min="6415" max="6656" width="11.42578125" style="500"/>
    <col min="6657" max="6657" width="15.28515625" style="500" bestFit="1" customWidth="1"/>
    <col min="6658" max="6658" width="13.7109375" style="500" bestFit="1" customWidth="1"/>
    <col min="6659" max="6659" width="18.42578125" style="500" bestFit="1" customWidth="1"/>
    <col min="6660" max="6670" width="13.7109375" style="500" bestFit="1" customWidth="1"/>
    <col min="6671" max="6912" width="11.42578125" style="500"/>
    <col min="6913" max="6913" width="15.28515625" style="500" bestFit="1" customWidth="1"/>
    <col min="6914" max="6914" width="13.7109375" style="500" bestFit="1" customWidth="1"/>
    <col min="6915" max="6915" width="18.42578125" style="500" bestFit="1" customWidth="1"/>
    <col min="6916" max="6926" width="13.7109375" style="500" bestFit="1" customWidth="1"/>
    <col min="6927" max="7168" width="11.42578125" style="500"/>
    <col min="7169" max="7169" width="15.28515625" style="500" bestFit="1" customWidth="1"/>
    <col min="7170" max="7170" width="13.7109375" style="500" bestFit="1" customWidth="1"/>
    <col min="7171" max="7171" width="18.42578125" style="500" bestFit="1" customWidth="1"/>
    <col min="7172" max="7182" width="13.7109375" style="500" bestFit="1" customWidth="1"/>
    <col min="7183" max="7424" width="11.42578125" style="500"/>
    <col min="7425" max="7425" width="15.28515625" style="500" bestFit="1" customWidth="1"/>
    <col min="7426" max="7426" width="13.7109375" style="500" bestFit="1" customWidth="1"/>
    <col min="7427" max="7427" width="18.42578125" style="500" bestFit="1" customWidth="1"/>
    <col min="7428" max="7438" width="13.7109375" style="500" bestFit="1" customWidth="1"/>
    <col min="7439" max="7680" width="11.42578125" style="500"/>
    <col min="7681" max="7681" width="15.28515625" style="500" bestFit="1" customWidth="1"/>
    <col min="7682" max="7682" width="13.7109375" style="500" bestFit="1" customWidth="1"/>
    <col min="7683" max="7683" width="18.42578125" style="500" bestFit="1" customWidth="1"/>
    <col min="7684" max="7694" width="13.7109375" style="500" bestFit="1" customWidth="1"/>
    <col min="7695" max="7936" width="11.42578125" style="500"/>
    <col min="7937" max="7937" width="15.28515625" style="500" bestFit="1" customWidth="1"/>
    <col min="7938" max="7938" width="13.7109375" style="500" bestFit="1" customWidth="1"/>
    <col min="7939" max="7939" width="18.42578125" style="500" bestFit="1" customWidth="1"/>
    <col min="7940" max="7950" width="13.7109375" style="500" bestFit="1" customWidth="1"/>
    <col min="7951" max="8192" width="11.42578125" style="500"/>
    <col min="8193" max="8193" width="15.28515625" style="500" bestFit="1" customWidth="1"/>
    <col min="8194" max="8194" width="13.7109375" style="500" bestFit="1" customWidth="1"/>
    <col min="8195" max="8195" width="18.42578125" style="500" bestFit="1" customWidth="1"/>
    <col min="8196" max="8206" width="13.7109375" style="500" bestFit="1" customWidth="1"/>
    <col min="8207" max="8448" width="11.42578125" style="500"/>
    <col min="8449" max="8449" width="15.28515625" style="500" bestFit="1" customWidth="1"/>
    <col min="8450" max="8450" width="13.7109375" style="500" bestFit="1" customWidth="1"/>
    <col min="8451" max="8451" width="18.42578125" style="500" bestFit="1" customWidth="1"/>
    <col min="8452" max="8462" width="13.7109375" style="500" bestFit="1" customWidth="1"/>
    <col min="8463" max="8704" width="11.42578125" style="500"/>
    <col min="8705" max="8705" width="15.28515625" style="500" bestFit="1" customWidth="1"/>
    <col min="8706" max="8706" width="13.7109375" style="500" bestFit="1" customWidth="1"/>
    <col min="8707" max="8707" width="18.42578125" style="500" bestFit="1" customWidth="1"/>
    <col min="8708" max="8718" width="13.7109375" style="500" bestFit="1" customWidth="1"/>
    <col min="8719" max="8960" width="11.42578125" style="500"/>
    <col min="8961" max="8961" width="15.28515625" style="500" bestFit="1" customWidth="1"/>
    <col min="8962" max="8962" width="13.7109375" style="500" bestFit="1" customWidth="1"/>
    <col min="8963" max="8963" width="18.42578125" style="500" bestFit="1" customWidth="1"/>
    <col min="8964" max="8974" width="13.7109375" style="500" bestFit="1" customWidth="1"/>
    <col min="8975" max="9216" width="11.42578125" style="500"/>
    <col min="9217" max="9217" width="15.28515625" style="500" bestFit="1" customWidth="1"/>
    <col min="9218" max="9218" width="13.7109375" style="500" bestFit="1" customWidth="1"/>
    <col min="9219" max="9219" width="18.42578125" style="500" bestFit="1" customWidth="1"/>
    <col min="9220" max="9230" width="13.7109375" style="500" bestFit="1" customWidth="1"/>
    <col min="9231" max="9472" width="11.42578125" style="500"/>
    <col min="9473" max="9473" width="15.28515625" style="500" bestFit="1" customWidth="1"/>
    <col min="9474" max="9474" width="13.7109375" style="500" bestFit="1" customWidth="1"/>
    <col min="9475" max="9475" width="18.42578125" style="500" bestFit="1" customWidth="1"/>
    <col min="9476" max="9486" width="13.7109375" style="500" bestFit="1" customWidth="1"/>
    <col min="9487" max="9728" width="11.42578125" style="500"/>
    <col min="9729" max="9729" width="15.28515625" style="500" bestFit="1" customWidth="1"/>
    <col min="9730" max="9730" width="13.7109375" style="500" bestFit="1" customWidth="1"/>
    <col min="9731" max="9731" width="18.42578125" style="500" bestFit="1" customWidth="1"/>
    <col min="9732" max="9742" width="13.7109375" style="500" bestFit="1" customWidth="1"/>
    <col min="9743" max="9984" width="11.42578125" style="500"/>
    <col min="9985" max="9985" width="15.28515625" style="500" bestFit="1" customWidth="1"/>
    <col min="9986" max="9986" width="13.7109375" style="500" bestFit="1" customWidth="1"/>
    <col min="9987" max="9987" width="18.42578125" style="500" bestFit="1" customWidth="1"/>
    <col min="9988" max="9998" width="13.7109375" style="500" bestFit="1" customWidth="1"/>
    <col min="9999" max="10240" width="11.42578125" style="500"/>
    <col min="10241" max="10241" width="15.28515625" style="500" bestFit="1" customWidth="1"/>
    <col min="10242" max="10242" width="13.7109375" style="500" bestFit="1" customWidth="1"/>
    <col min="10243" max="10243" width="18.42578125" style="500" bestFit="1" customWidth="1"/>
    <col min="10244" max="10254" width="13.7109375" style="500" bestFit="1" customWidth="1"/>
    <col min="10255" max="10496" width="11.42578125" style="500"/>
    <col min="10497" max="10497" width="15.28515625" style="500" bestFit="1" customWidth="1"/>
    <col min="10498" max="10498" width="13.7109375" style="500" bestFit="1" customWidth="1"/>
    <col min="10499" max="10499" width="18.42578125" style="500" bestFit="1" customWidth="1"/>
    <col min="10500" max="10510" width="13.7109375" style="500" bestFit="1" customWidth="1"/>
    <col min="10511" max="10752" width="11.42578125" style="500"/>
    <col min="10753" max="10753" width="15.28515625" style="500" bestFit="1" customWidth="1"/>
    <col min="10754" max="10754" width="13.7109375" style="500" bestFit="1" customWidth="1"/>
    <col min="10755" max="10755" width="18.42578125" style="500" bestFit="1" customWidth="1"/>
    <col min="10756" max="10766" width="13.7109375" style="500" bestFit="1" customWidth="1"/>
    <col min="10767" max="11008" width="11.42578125" style="500"/>
    <col min="11009" max="11009" width="15.28515625" style="500" bestFit="1" customWidth="1"/>
    <col min="11010" max="11010" width="13.7109375" style="500" bestFit="1" customWidth="1"/>
    <col min="11011" max="11011" width="18.42578125" style="500" bestFit="1" customWidth="1"/>
    <col min="11012" max="11022" width="13.7109375" style="500" bestFit="1" customWidth="1"/>
    <col min="11023" max="11264" width="11.42578125" style="500"/>
    <col min="11265" max="11265" width="15.28515625" style="500" bestFit="1" customWidth="1"/>
    <col min="11266" max="11266" width="13.7109375" style="500" bestFit="1" customWidth="1"/>
    <col min="11267" max="11267" width="18.42578125" style="500" bestFit="1" customWidth="1"/>
    <col min="11268" max="11278" width="13.7109375" style="500" bestFit="1" customWidth="1"/>
    <col min="11279" max="11520" width="11.42578125" style="500"/>
    <col min="11521" max="11521" width="15.28515625" style="500" bestFit="1" customWidth="1"/>
    <col min="11522" max="11522" width="13.7109375" style="500" bestFit="1" customWidth="1"/>
    <col min="11523" max="11523" width="18.42578125" style="500" bestFit="1" customWidth="1"/>
    <col min="11524" max="11534" width="13.7109375" style="500" bestFit="1" customWidth="1"/>
    <col min="11535" max="11776" width="11.42578125" style="500"/>
    <col min="11777" max="11777" width="15.28515625" style="500" bestFit="1" customWidth="1"/>
    <col min="11778" max="11778" width="13.7109375" style="500" bestFit="1" customWidth="1"/>
    <col min="11779" max="11779" width="18.42578125" style="500" bestFit="1" customWidth="1"/>
    <col min="11780" max="11790" width="13.7109375" style="500" bestFit="1" customWidth="1"/>
    <col min="11791" max="12032" width="11.42578125" style="500"/>
    <col min="12033" max="12033" width="15.28515625" style="500" bestFit="1" customWidth="1"/>
    <col min="12034" max="12034" width="13.7109375" style="500" bestFit="1" customWidth="1"/>
    <col min="12035" max="12035" width="18.42578125" style="500" bestFit="1" customWidth="1"/>
    <col min="12036" max="12046" width="13.7109375" style="500" bestFit="1" customWidth="1"/>
    <col min="12047" max="12288" width="11.42578125" style="500"/>
    <col min="12289" max="12289" width="15.28515625" style="500" bestFit="1" customWidth="1"/>
    <col min="12290" max="12290" width="13.7109375" style="500" bestFit="1" customWidth="1"/>
    <col min="12291" max="12291" width="18.42578125" style="500" bestFit="1" customWidth="1"/>
    <col min="12292" max="12302" width="13.7109375" style="500" bestFit="1" customWidth="1"/>
    <col min="12303" max="12544" width="11.42578125" style="500"/>
    <col min="12545" max="12545" width="15.28515625" style="500" bestFit="1" customWidth="1"/>
    <col min="12546" max="12546" width="13.7109375" style="500" bestFit="1" customWidth="1"/>
    <col min="12547" max="12547" width="18.42578125" style="500" bestFit="1" customWidth="1"/>
    <col min="12548" max="12558" width="13.7109375" style="500" bestFit="1" customWidth="1"/>
    <col min="12559" max="12800" width="11.42578125" style="500"/>
    <col min="12801" max="12801" width="15.28515625" style="500" bestFit="1" customWidth="1"/>
    <col min="12802" max="12802" width="13.7109375" style="500" bestFit="1" customWidth="1"/>
    <col min="12803" max="12803" width="18.42578125" style="500" bestFit="1" customWidth="1"/>
    <col min="12804" max="12814" width="13.7109375" style="500" bestFit="1" customWidth="1"/>
    <col min="12815" max="13056" width="11.42578125" style="500"/>
    <col min="13057" max="13057" width="15.28515625" style="500" bestFit="1" customWidth="1"/>
    <col min="13058" max="13058" width="13.7109375" style="500" bestFit="1" customWidth="1"/>
    <col min="13059" max="13059" width="18.42578125" style="500" bestFit="1" customWidth="1"/>
    <col min="13060" max="13070" width="13.7109375" style="500" bestFit="1" customWidth="1"/>
    <col min="13071" max="13312" width="11.42578125" style="500"/>
    <col min="13313" max="13313" width="15.28515625" style="500" bestFit="1" customWidth="1"/>
    <col min="13314" max="13314" width="13.7109375" style="500" bestFit="1" customWidth="1"/>
    <col min="13315" max="13315" width="18.42578125" style="500" bestFit="1" customWidth="1"/>
    <col min="13316" max="13326" width="13.7109375" style="500" bestFit="1" customWidth="1"/>
    <col min="13327" max="13568" width="11.42578125" style="500"/>
    <col min="13569" max="13569" width="15.28515625" style="500" bestFit="1" customWidth="1"/>
    <col min="13570" max="13570" width="13.7109375" style="500" bestFit="1" customWidth="1"/>
    <col min="13571" max="13571" width="18.42578125" style="500" bestFit="1" customWidth="1"/>
    <col min="13572" max="13582" width="13.7109375" style="500" bestFit="1" customWidth="1"/>
    <col min="13583" max="13824" width="11.42578125" style="500"/>
    <col min="13825" max="13825" width="15.28515625" style="500" bestFit="1" customWidth="1"/>
    <col min="13826" max="13826" width="13.7109375" style="500" bestFit="1" customWidth="1"/>
    <col min="13827" max="13827" width="18.42578125" style="500" bestFit="1" customWidth="1"/>
    <col min="13828" max="13838" width="13.7109375" style="500" bestFit="1" customWidth="1"/>
    <col min="13839" max="14080" width="11.42578125" style="500"/>
    <col min="14081" max="14081" width="15.28515625" style="500" bestFit="1" customWidth="1"/>
    <col min="14082" max="14082" width="13.7109375" style="500" bestFit="1" customWidth="1"/>
    <col min="14083" max="14083" width="18.42578125" style="500" bestFit="1" customWidth="1"/>
    <col min="14084" max="14094" width="13.7109375" style="500" bestFit="1" customWidth="1"/>
    <col min="14095" max="14336" width="11.42578125" style="500"/>
    <col min="14337" max="14337" width="15.28515625" style="500" bestFit="1" customWidth="1"/>
    <col min="14338" max="14338" width="13.7109375" style="500" bestFit="1" customWidth="1"/>
    <col min="14339" max="14339" width="18.42578125" style="500" bestFit="1" customWidth="1"/>
    <col min="14340" max="14350" width="13.7109375" style="500" bestFit="1" customWidth="1"/>
    <col min="14351" max="14592" width="11.42578125" style="500"/>
    <col min="14593" max="14593" width="15.28515625" style="500" bestFit="1" customWidth="1"/>
    <col min="14594" max="14594" width="13.7109375" style="500" bestFit="1" customWidth="1"/>
    <col min="14595" max="14595" width="18.42578125" style="500" bestFit="1" customWidth="1"/>
    <col min="14596" max="14606" width="13.7109375" style="500" bestFit="1" customWidth="1"/>
    <col min="14607" max="14848" width="11.42578125" style="500"/>
    <col min="14849" max="14849" width="15.28515625" style="500" bestFit="1" customWidth="1"/>
    <col min="14850" max="14850" width="13.7109375" style="500" bestFit="1" customWidth="1"/>
    <col min="14851" max="14851" width="18.42578125" style="500" bestFit="1" customWidth="1"/>
    <col min="14852" max="14862" width="13.7109375" style="500" bestFit="1" customWidth="1"/>
    <col min="14863" max="15104" width="11.42578125" style="500"/>
    <col min="15105" max="15105" width="15.28515625" style="500" bestFit="1" customWidth="1"/>
    <col min="15106" max="15106" width="13.7109375" style="500" bestFit="1" customWidth="1"/>
    <col min="15107" max="15107" width="18.42578125" style="500" bestFit="1" customWidth="1"/>
    <col min="15108" max="15118" width="13.7109375" style="500" bestFit="1" customWidth="1"/>
    <col min="15119" max="15360" width="11.42578125" style="500"/>
    <col min="15361" max="15361" width="15.28515625" style="500" bestFit="1" customWidth="1"/>
    <col min="15362" max="15362" width="13.7109375" style="500" bestFit="1" customWidth="1"/>
    <col min="15363" max="15363" width="18.42578125" style="500" bestFit="1" customWidth="1"/>
    <col min="15364" max="15374" width="13.7109375" style="500" bestFit="1" customWidth="1"/>
    <col min="15375" max="15616" width="11.42578125" style="500"/>
    <col min="15617" max="15617" width="15.28515625" style="500" bestFit="1" customWidth="1"/>
    <col min="15618" max="15618" width="13.7109375" style="500" bestFit="1" customWidth="1"/>
    <col min="15619" max="15619" width="18.42578125" style="500" bestFit="1" customWidth="1"/>
    <col min="15620" max="15630" width="13.7109375" style="500" bestFit="1" customWidth="1"/>
    <col min="15631" max="15872" width="11.42578125" style="500"/>
    <col min="15873" max="15873" width="15.28515625" style="500" bestFit="1" customWidth="1"/>
    <col min="15874" max="15874" width="13.7109375" style="500" bestFit="1" customWidth="1"/>
    <col min="15875" max="15875" width="18.42578125" style="500" bestFit="1" customWidth="1"/>
    <col min="15876" max="15886" width="13.7109375" style="500" bestFit="1" customWidth="1"/>
    <col min="15887" max="16128" width="11.42578125" style="500"/>
    <col min="16129" max="16129" width="15.28515625" style="500" bestFit="1" customWidth="1"/>
    <col min="16130" max="16130" width="13.7109375" style="500" bestFit="1" customWidth="1"/>
    <col min="16131" max="16131" width="18.42578125" style="500" bestFit="1" customWidth="1"/>
    <col min="16132" max="16142" width="13.7109375" style="500" bestFit="1" customWidth="1"/>
    <col min="16143" max="16384" width="11.42578125" style="500"/>
  </cols>
  <sheetData>
    <row r="1" spans="1:15" ht="15.75" x14ac:dyDescent="0.25">
      <c r="A1" s="1191" t="s">
        <v>254</v>
      </c>
      <c r="B1" s="1191"/>
      <c r="C1" s="1191"/>
      <c r="D1" s="1191"/>
      <c r="E1" s="1191"/>
      <c r="F1" s="1191"/>
      <c r="G1" s="1191"/>
      <c r="H1" s="1191"/>
      <c r="I1" s="1191"/>
      <c r="J1" s="1191"/>
      <c r="K1" s="1191"/>
      <c r="L1" s="1191"/>
      <c r="M1" s="1191"/>
    </row>
    <row r="2" spans="1:15" x14ac:dyDescent="0.2">
      <c r="A2" s="1192" t="s">
        <v>255</v>
      </c>
      <c r="B2" s="1192"/>
      <c r="C2" s="1192"/>
      <c r="D2" s="1192"/>
      <c r="E2" s="1192"/>
      <c r="F2" s="1192"/>
      <c r="G2" s="1192"/>
      <c r="H2" s="1192"/>
      <c r="I2" s="1192"/>
      <c r="J2" s="1192"/>
      <c r="K2" s="1192"/>
      <c r="L2" s="1192"/>
      <c r="M2" s="1192"/>
      <c r="N2" s="589"/>
      <c r="O2" s="589"/>
    </row>
    <row r="3" spans="1:15" x14ac:dyDescent="0.2">
      <c r="A3" s="1192" t="s">
        <v>256</v>
      </c>
      <c r="B3" s="1192"/>
      <c r="C3" s="1192"/>
      <c r="D3" s="1192"/>
      <c r="E3" s="1192"/>
      <c r="F3" s="1192"/>
      <c r="G3" s="1192"/>
      <c r="H3" s="1192"/>
      <c r="I3" s="1192"/>
      <c r="J3" s="1192"/>
      <c r="K3" s="1192"/>
      <c r="L3" s="1192"/>
      <c r="M3" s="1192"/>
      <c r="N3" s="589"/>
      <c r="O3" s="589"/>
    </row>
    <row r="4" spans="1:15" x14ac:dyDescent="0.2">
      <c r="A4" s="1304" t="s">
        <v>325</v>
      </c>
      <c r="B4" s="1304"/>
      <c r="C4" s="1304"/>
      <c r="D4" s="1304"/>
      <c r="E4" s="1304"/>
      <c r="F4" s="1304"/>
      <c r="G4" s="1304"/>
      <c r="H4" s="1304"/>
      <c r="I4" s="1304"/>
      <c r="J4" s="1304"/>
      <c r="K4" s="1304"/>
      <c r="L4" s="1304"/>
      <c r="M4" s="1304"/>
      <c r="N4" s="753"/>
    </row>
    <row r="5" spans="1:15" x14ac:dyDescent="0.2">
      <c r="A5" s="1315" t="s">
        <v>410</v>
      </c>
      <c r="B5" s="1315"/>
      <c r="C5" s="1315"/>
      <c r="D5" s="1315"/>
      <c r="E5" s="1315"/>
      <c r="F5" s="1315"/>
      <c r="G5" s="1315"/>
      <c r="H5" s="1315"/>
      <c r="I5" s="1315"/>
      <c r="J5" s="1315"/>
      <c r="K5" s="1315"/>
      <c r="L5" s="1315"/>
      <c r="M5" s="1315"/>
      <c r="N5" s="754"/>
    </row>
    <row r="6" spans="1:15" x14ac:dyDescent="0.2">
      <c r="A6" s="590"/>
      <c r="B6" s="750"/>
      <c r="C6" s="750"/>
      <c r="D6" s="750"/>
      <c r="E6" s="750"/>
      <c r="F6" s="750"/>
      <c r="G6" s="750"/>
      <c r="H6" s="750"/>
      <c r="I6" s="750"/>
      <c r="J6" s="750"/>
      <c r="K6" s="750"/>
      <c r="L6" s="750"/>
      <c r="M6" s="750"/>
      <c r="N6" s="753"/>
    </row>
    <row r="7" spans="1:15" x14ac:dyDescent="0.2">
      <c r="A7" s="590">
        <f>SUM(B7:M7)</f>
        <v>99.999999999999986</v>
      </c>
      <c r="B7" s="750">
        <f>B10/$A$10*100</f>
        <v>7.3410765304678254</v>
      </c>
      <c r="C7" s="750">
        <f t="shared" ref="C7:M7" si="0">C10/$A$10*100</f>
        <v>9.9443423054081421</v>
      </c>
      <c r="D7" s="750">
        <f t="shared" si="0"/>
        <v>7.4046174705678505</v>
      </c>
      <c r="E7" s="750">
        <f t="shared" si="0"/>
        <v>10.672867658453667</v>
      </c>
      <c r="F7" s="750">
        <f t="shared" si="0"/>
        <v>8.9282667057197056</v>
      </c>
      <c r="G7" s="750">
        <f t="shared" si="0"/>
        <v>9.1315836644616954</v>
      </c>
      <c r="H7" s="750">
        <f t="shared" si="0"/>
        <v>8.0804908327748386</v>
      </c>
      <c r="I7" s="750">
        <f t="shared" si="0"/>
        <v>8.4822251765862688</v>
      </c>
      <c r="J7" s="750">
        <f t="shared" si="0"/>
        <v>7.8316895412608512</v>
      </c>
      <c r="K7" s="750">
        <f t="shared" si="0"/>
        <v>6.6988142042381096</v>
      </c>
      <c r="L7" s="750">
        <f t="shared" si="0"/>
        <v>7.6281198737813067</v>
      </c>
      <c r="M7" s="750">
        <f t="shared" si="0"/>
        <v>7.8559060362797375</v>
      </c>
      <c r="N7" s="753"/>
    </row>
    <row r="8" spans="1:15" ht="13.5" thickBot="1" x14ac:dyDescent="0.25">
      <c r="A8" s="1308"/>
      <c r="B8" s="1308"/>
      <c r="C8" s="1308"/>
      <c r="D8" s="1308"/>
      <c r="E8" s="1308"/>
      <c r="F8" s="1308"/>
      <c r="G8" s="1308"/>
      <c r="H8" s="1308"/>
      <c r="I8" s="1308"/>
      <c r="J8" s="1308"/>
      <c r="K8" s="1308"/>
      <c r="L8" s="1308"/>
      <c r="M8" s="1308"/>
      <c r="N8" s="753"/>
    </row>
    <row r="9" spans="1:15" ht="13.5" thickBot="1" x14ac:dyDescent="0.25">
      <c r="A9" s="592" t="s">
        <v>326</v>
      </c>
      <c r="B9" s="592" t="s">
        <v>1</v>
      </c>
      <c r="C9" s="592" t="s">
        <v>2</v>
      </c>
      <c r="D9" s="592" t="s">
        <v>3</v>
      </c>
      <c r="E9" s="592" t="s">
        <v>4</v>
      </c>
      <c r="F9" s="592" t="s">
        <v>5</v>
      </c>
      <c r="G9" s="592" t="s">
        <v>6</v>
      </c>
      <c r="H9" s="592" t="s">
        <v>7</v>
      </c>
      <c r="I9" s="592" t="s">
        <v>8</v>
      </c>
      <c r="J9" s="592" t="s">
        <v>9</v>
      </c>
      <c r="K9" s="592" t="s">
        <v>10</v>
      </c>
      <c r="L9" s="592" t="s">
        <v>11</v>
      </c>
      <c r="M9" s="592" t="s">
        <v>12</v>
      </c>
      <c r="N9" s="750"/>
    </row>
    <row r="10" spans="1:15" ht="13.5" thickBot="1" x14ac:dyDescent="0.25">
      <c r="A10" s="594">
        <f>B10+C10+D10+E10+F10+G10+H10+I10+J10+K10+L10+M10</f>
        <v>9691394226</v>
      </c>
      <c r="B10" s="848">
        <v>711452667</v>
      </c>
      <c r="C10" s="848">
        <v>963745416</v>
      </c>
      <c r="D10" s="848">
        <v>717610670</v>
      </c>
      <c r="E10" s="848">
        <v>1034349680</v>
      </c>
      <c r="F10" s="848">
        <v>865273524</v>
      </c>
      <c r="G10" s="848">
        <v>884977772</v>
      </c>
      <c r="H10" s="848">
        <v>783112222</v>
      </c>
      <c r="I10" s="848">
        <v>822045881</v>
      </c>
      <c r="J10" s="848">
        <v>758999908</v>
      </c>
      <c r="K10" s="848">
        <v>649208493</v>
      </c>
      <c r="L10" s="848">
        <v>739271169</v>
      </c>
      <c r="M10" s="849">
        <v>761346824</v>
      </c>
      <c r="N10" s="755">
        <f>SUM(B10:M10)</f>
        <v>9691394226</v>
      </c>
    </row>
    <row r="11" spans="1:15" ht="13.5" thickBot="1" x14ac:dyDescent="0.25">
      <c r="A11" s="600">
        <v>0.22500000000000001</v>
      </c>
      <c r="B11" s="625">
        <v>0.22500000000000001</v>
      </c>
      <c r="C11" s="756">
        <v>0.22500000000000001</v>
      </c>
      <c r="D11" s="756">
        <v>0.22500000000000001</v>
      </c>
      <c r="E11" s="756">
        <v>0.22500000000000001</v>
      </c>
      <c r="F11" s="756">
        <v>0.22500000000000001</v>
      </c>
      <c r="G11" s="756">
        <v>0.22500000000000001</v>
      </c>
      <c r="H11" s="756">
        <v>0.22500000000000001</v>
      </c>
      <c r="I11" s="756">
        <v>0.22500000000000001</v>
      </c>
      <c r="J11" s="756">
        <v>0.22500000000000001</v>
      </c>
      <c r="K11" s="756">
        <v>0.22500000000000001</v>
      </c>
      <c r="L11" s="756">
        <v>0.22500000000000001</v>
      </c>
      <c r="M11" s="756">
        <v>0.22500000000000001</v>
      </c>
      <c r="N11" s="613"/>
    </row>
    <row r="12" spans="1:15" ht="13.5" thickBot="1" x14ac:dyDescent="0.25">
      <c r="A12" s="594">
        <f>A10*A11</f>
        <v>2180563700.8499999</v>
      </c>
      <c r="B12" s="594">
        <f>B10*B11</f>
        <v>160076850.07500002</v>
      </c>
      <c r="C12" s="594">
        <f>C10*C11</f>
        <v>216842718.59999999</v>
      </c>
      <c r="D12" s="594">
        <f>D10*D11</f>
        <v>161462400.75</v>
      </c>
      <c r="E12" s="594">
        <f t="shared" ref="E12:J12" si="1">E10*E11</f>
        <v>232728678</v>
      </c>
      <c r="F12" s="594">
        <f t="shared" si="1"/>
        <v>194686542.90000001</v>
      </c>
      <c r="G12" s="594">
        <f t="shared" si="1"/>
        <v>199119998.70000002</v>
      </c>
      <c r="H12" s="594">
        <f t="shared" si="1"/>
        <v>176200249.95000002</v>
      </c>
      <c r="I12" s="594">
        <f t="shared" si="1"/>
        <v>184960323.22499999</v>
      </c>
      <c r="J12" s="594">
        <f t="shared" si="1"/>
        <v>170774979.30000001</v>
      </c>
      <c r="K12" s="594">
        <f>K10*K11</f>
        <v>146071910.92500001</v>
      </c>
      <c r="L12" s="594">
        <f>L10*L11</f>
        <v>166336013.02500001</v>
      </c>
      <c r="M12" s="594">
        <f>M10*M11</f>
        <v>171303035.40000001</v>
      </c>
      <c r="N12" s="755">
        <f t="shared" ref="N12" si="2">SUM(B12:M12)</f>
        <v>2180563700.8499999</v>
      </c>
    </row>
    <row r="13" spans="1:15" ht="13.5" thickBot="1" x14ac:dyDescent="0.25">
      <c r="A13" s="606" t="s">
        <v>357</v>
      </c>
    </row>
    <row r="14" spans="1:15" x14ac:dyDescent="0.2">
      <c r="A14" s="1304" t="s">
        <v>325</v>
      </c>
      <c r="B14" s="1304"/>
      <c r="C14" s="1304"/>
      <c r="D14" s="1304"/>
      <c r="E14" s="1304"/>
      <c r="F14" s="1304"/>
      <c r="G14" s="1304"/>
      <c r="H14" s="1304"/>
      <c r="I14" s="1304"/>
      <c r="J14" s="1304"/>
      <c r="K14" s="1304"/>
      <c r="L14" s="1304"/>
      <c r="M14" s="1304"/>
      <c r="N14" s="753"/>
    </row>
    <row r="15" spans="1:15" x14ac:dyDescent="0.2">
      <c r="A15" s="1315" t="s">
        <v>411</v>
      </c>
      <c r="B15" s="1315"/>
      <c r="C15" s="1315"/>
      <c r="D15" s="1315"/>
      <c r="E15" s="1315"/>
      <c r="F15" s="1315"/>
      <c r="G15" s="1315"/>
      <c r="H15" s="1315"/>
      <c r="I15" s="1315"/>
      <c r="J15" s="1315"/>
      <c r="K15" s="1315"/>
      <c r="L15" s="1315"/>
      <c r="M15" s="1315"/>
      <c r="N15" s="754"/>
    </row>
    <row r="16" spans="1:15" x14ac:dyDescent="0.2">
      <c r="A16" s="590"/>
      <c r="B16" s="750"/>
      <c r="C16" s="750"/>
      <c r="D16" s="750"/>
      <c r="E16" s="750"/>
      <c r="F16" s="750"/>
      <c r="G16" s="750"/>
      <c r="H16" s="750"/>
      <c r="I16" s="750"/>
      <c r="J16" s="750"/>
      <c r="K16" s="750"/>
      <c r="L16" s="750"/>
      <c r="M16" s="750"/>
      <c r="N16" s="753"/>
    </row>
    <row r="17" spans="1:14" ht="13.5" thickBot="1" x14ac:dyDescent="0.25">
      <c r="A17" s="608">
        <f>SUM(B17:M17)</f>
        <v>100</v>
      </c>
      <c r="B17" s="608">
        <f>B19/$A$19*100</f>
        <v>7.3395405915388272</v>
      </c>
      <c r="C17" s="608">
        <f t="shared" ref="C17:M17" si="3">C19/$A$19*100</f>
        <v>9.9475053739308752</v>
      </c>
      <c r="D17" s="608">
        <f t="shared" si="3"/>
        <v>7.403196332308835</v>
      </c>
      <c r="E17" s="608">
        <f t="shared" si="3"/>
        <v>10.677345723865367</v>
      </c>
      <c r="F17" s="608">
        <f t="shared" si="3"/>
        <v>8.929595778994063</v>
      </c>
      <c r="G17" s="608">
        <f t="shared" si="3"/>
        <v>9.133279674592929</v>
      </c>
      <c r="H17" s="608">
        <f t="shared" si="3"/>
        <v>8.0797792634081329</v>
      </c>
      <c r="I17" s="608">
        <f t="shared" si="3"/>
        <v>8.482238799868048</v>
      </c>
      <c r="J17" s="608">
        <f t="shared" si="3"/>
        <v>7.8305289075537328</v>
      </c>
      <c r="K17" s="608">
        <f t="shared" si="3"/>
        <v>6.695608714626383</v>
      </c>
      <c r="L17" s="608">
        <f t="shared" si="3"/>
        <v>7.626591701814597</v>
      </c>
      <c r="M17" s="608">
        <f t="shared" si="3"/>
        <v>7.8547891374982086</v>
      </c>
      <c r="N17" s="753"/>
    </row>
    <row r="18" spans="1:14" ht="13.5" thickBot="1" x14ac:dyDescent="0.25">
      <c r="A18" s="592" t="s">
        <v>326</v>
      </c>
      <c r="B18" s="592" t="s">
        <v>1</v>
      </c>
      <c r="C18" s="592" t="s">
        <v>2</v>
      </c>
      <c r="D18" s="592" t="s">
        <v>3</v>
      </c>
      <c r="E18" s="592" t="s">
        <v>4</v>
      </c>
      <c r="F18" s="592" t="s">
        <v>5</v>
      </c>
      <c r="G18" s="592" t="s">
        <v>6</v>
      </c>
      <c r="H18" s="592" t="s">
        <v>7</v>
      </c>
      <c r="I18" s="592" t="s">
        <v>8</v>
      </c>
      <c r="J18" s="592" t="s">
        <v>9</v>
      </c>
      <c r="K18" s="592" t="s">
        <v>10</v>
      </c>
      <c r="L18" s="592" t="s">
        <v>11</v>
      </c>
      <c r="M18" s="592" t="s">
        <v>12</v>
      </c>
    </row>
    <row r="19" spans="1:14" ht="13.5" thickBot="1" x14ac:dyDescent="0.25">
      <c r="A19" s="594">
        <f>B19+C19+D19+E19+F19+G19+H19+I19+J19+K19+L19+M19</f>
        <v>674272257</v>
      </c>
      <c r="B19" s="848">
        <v>49488486</v>
      </c>
      <c r="C19" s="848">
        <v>67073269</v>
      </c>
      <c r="D19" s="848">
        <v>49917699</v>
      </c>
      <c r="E19" s="848">
        <v>71994380</v>
      </c>
      <c r="F19" s="848">
        <v>60209787</v>
      </c>
      <c r="G19" s="848">
        <v>61583171</v>
      </c>
      <c r="H19" s="848">
        <v>54479710</v>
      </c>
      <c r="I19" s="848">
        <v>57193383</v>
      </c>
      <c r="J19" s="848">
        <v>52799084</v>
      </c>
      <c r="K19" s="848">
        <v>45146632</v>
      </c>
      <c r="L19" s="848">
        <v>51423992</v>
      </c>
      <c r="M19" s="849">
        <v>52962664</v>
      </c>
      <c r="N19" s="755">
        <f>SUM(B19:M19)</f>
        <v>674272257</v>
      </c>
    </row>
    <row r="20" spans="1:14" x14ac:dyDescent="0.2">
      <c r="A20" s="548">
        <v>0.7</v>
      </c>
      <c r="B20" s="614">
        <f t="shared" ref="B20:M20" si="4">B19*$A$20</f>
        <v>34641940.199999996</v>
      </c>
      <c r="C20" s="614">
        <f t="shared" si="4"/>
        <v>46951288.299999997</v>
      </c>
      <c r="D20" s="614">
        <f t="shared" si="4"/>
        <v>34942389.299999997</v>
      </c>
      <c r="E20" s="614">
        <f t="shared" si="4"/>
        <v>50396066</v>
      </c>
      <c r="F20" s="614">
        <f t="shared" si="4"/>
        <v>42146850.899999999</v>
      </c>
      <c r="G20" s="614">
        <f t="shared" si="4"/>
        <v>43108219.699999996</v>
      </c>
      <c r="H20" s="614">
        <f t="shared" si="4"/>
        <v>38135797</v>
      </c>
      <c r="I20" s="614">
        <f t="shared" si="4"/>
        <v>40035368.099999994</v>
      </c>
      <c r="J20" s="614">
        <f t="shared" si="4"/>
        <v>36959358.799999997</v>
      </c>
      <c r="K20" s="614">
        <f t="shared" si="4"/>
        <v>31602642.399999999</v>
      </c>
      <c r="L20" s="614">
        <f t="shared" si="4"/>
        <v>35996794.399999999</v>
      </c>
      <c r="M20" s="614">
        <f t="shared" si="4"/>
        <v>37073864.799999997</v>
      </c>
      <c r="N20" s="509">
        <f>SUM(B20:M20)</f>
        <v>471990579.89999998</v>
      </c>
    </row>
    <row r="21" spans="1:14" ht="13.5" thickBot="1" x14ac:dyDescent="0.25">
      <c r="A21" s="612">
        <v>0.3</v>
      </c>
      <c r="B21" s="614">
        <f t="shared" ref="B21:M21" si="5">B19*$A$21</f>
        <v>14846545.799999999</v>
      </c>
      <c r="C21" s="614">
        <f t="shared" si="5"/>
        <v>20121980.699999999</v>
      </c>
      <c r="D21" s="614">
        <f t="shared" si="5"/>
        <v>14975309.699999999</v>
      </c>
      <c r="E21" s="614">
        <f t="shared" si="5"/>
        <v>21598314</v>
      </c>
      <c r="F21" s="614">
        <f t="shared" si="5"/>
        <v>18062936.099999998</v>
      </c>
      <c r="G21" s="614">
        <f t="shared" si="5"/>
        <v>18474951.300000001</v>
      </c>
      <c r="H21" s="614">
        <f t="shared" si="5"/>
        <v>16343913</v>
      </c>
      <c r="I21" s="614">
        <f t="shared" si="5"/>
        <v>17158014.899999999</v>
      </c>
      <c r="J21" s="614">
        <f t="shared" si="5"/>
        <v>15839725.199999999</v>
      </c>
      <c r="K21" s="614">
        <f t="shared" si="5"/>
        <v>13543989.6</v>
      </c>
      <c r="L21" s="614">
        <f t="shared" si="5"/>
        <v>15427197.6</v>
      </c>
      <c r="M21" s="614">
        <f t="shared" si="5"/>
        <v>15888799.199999999</v>
      </c>
      <c r="N21" s="509">
        <f>SUM(B21:M21)</f>
        <v>202281677.09999996</v>
      </c>
    </row>
    <row r="22" spans="1:14" ht="13.5" thickBot="1" x14ac:dyDescent="0.25">
      <c r="A22" s="606" t="s">
        <v>357</v>
      </c>
      <c r="B22" s="614"/>
      <c r="C22" s="614"/>
      <c r="D22" s="614"/>
      <c r="E22" s="614"/>
      <c r="F22" s="614"/>
      <c r="G22" s="614"/>
      <c r="H22" s="614"/>
      <c r="I22" s="614"/>
      <c r="J22" s="614"/>
      <c r="K22" s="614"/>
      <c r="L22" s="614"/>
      <c r="M22" s="614"/>
      <c r="N22" s="509">
        <f>SUM(N20:N21)</f>
        <v>674272257</v>
      </c>
    </row>
    <row r="23" spans="1:14" x14ac:dyDescent="0.2">
      <c r="A23" s="614"/>
      <c r="B23" s="614"/>
      <c r="C23" s="614"/>
      <c r="D23" s="614"/>
      <c r="E23" s="614"/>
      <c r="F23" s="614"/>
      <c r="G23" s="614"/>
      <c r="H23" s="614"/>
      <c r="I23" s="614"/>
      <c r="J23" s="614"/>
      <c r="K23" s="614"/>
      <c r="L23" s="614"/>
      <c r="M23" s="614"/>
    </row>
    <row r="24" spans="1:14" x14ac:dyDescent="0.2">
      <c r="A24" s="614"/>
      <c r="B24" s="614"/>
      <c r="C24" s="614"/>
      <c r="D24" s="614"/>
      <c r="E24" s="614"/>
      <c r="F24" s="614"/>
      <c r="G24" s="614"/>
      <c r="H24" s="614"/>
      <c r="I24" s="614"/>
      <c r="J24" s="614"/>
      <c r="K24" s="614"/>
      <c r="L24" s="614"/>
      <c r="M24" s="614"/>
    </row>
    <row r="25" spans="1:14" x14ac:dyDescent="0.2">
      <c r="A25" s="614"/>
      <c r="B25" s="614"/>
      <c r="C25" s="614"/>
      <c r="D25" s="614"/>
      <c r="E25" s="614"/>
      <c r="F25" s="614"/>
      <c r="G25" s="614"/>
      <c r="H25" s="614"/>
      <c r="I25" s="614"/>
      <c r="J25" s="614"/>
      <c r="K25" s="614"/>
      <c r="L25" s="614"/>
      <c r="M25" s="614"/>
    </row>
    <row r="26" spans="1:14" x14ac:dyDescent="0.2">
      <c r="A26" s="1304" t="s">
        <v>325</v>
      </c>
      <c r="B26" s="1304"/>
      <c r="C26" s="1304"/>
      <c r="D26" s="1304"/>
      <c r="E26" s="1304"/>
      <c r="F26" s="1304"/>
      <c r="G26" s="1304"/>
      <c r="H26" s="1304"/>
      <c r="I26" s="1304"/>
      <c r="J26" s="1304"/>
      <c r="K26" s="1304"/>
      <c r="L26" s="1304"/>
      <c r="M26" s="1304"/>
    </row>
    <row r="27" spans="1:14" x14ac:dyDescent="0.2">
      <c r="A27" s="1315" t="s">
        <v>412</v>
      </c>
      <c r="B27" s="1315"/>
      <c r="C27" s="1315"/>
      <c r="D27" s="1315"/>
      <c r="E27" s="1315"/>
      <c r="F27" s="1315"/>
      <c r="G27" s="1315"/>
      <c r="H27" s="1315"/>
      <c r="I27" s="1315"/>
      <c r="J27" s="1315"/>
      <c r="K27" s="1315"/>
      <c r="L27" s="1315"/>
      <c r="M27" s="1315"/>
      <c r="N27" s="757"/>
    </row>
    <row r="28" spans="1:14" x14ac:dyDescent="0.2">
      <c r="A28" s="590"/>
      <c r="B28" s="750"/>
      <c r="C28" s="750"/>
      <c r="D28" s="750"/>
      <c r="E28" s="750"/>
      <c r="F28" s="750"/>
      <c r="G28" s="750"/>
      <c r="H28" s="750"/>
      <c r="I28" s="750"/>
      <c r="J28" s="750"/>
      <c r="K28" s="750"/>
      <c r="L28" s="750"/>
      <c r="M28" s="750"/>
    </row>
    <row r="29" spans="1:14" ht="13.5" thickBot="1" x14ac:dyDescent="0.25">
      <c r="A29" s="608">
        <f>SUM(B29:M29)</f>
        <v>100.00000000000001</v>
      </c>
      <c r="B29" s="608">
        <f>B31/$A$31*100</f>
        <v>6.2290293960106142</v>
      </c>
      <c r="C29" s="608">
        <f t="shared" ref="C29:M29" si="6">C31/$A$31*100</f>
        <v>14.684589906339557</v>
      </c>
      <c r="D29" s="608">
        <f t="shared" si="6"/>
        <v>6.6917522528102191</v>
      </c>
      <c r="E29" s="608">
        <f t="shared" si="6"/>
        <v>6.4879494693807329</v>
      </c>
      <c r="F29" s="608">
        <f t="shared" si="6"/>
        <v>6.8642366448828485</v>
      </c>
      <c r="G29" s="608">
        <f t="shared" si="6"/>
        <v>8.1576109707014304</v>
      </c>
      <c r="H29" s="608">
        <f t="shared" si="6"/>
        <v>7.6529104820583145</v>
      </c>
      <c r="I29" s="608">
        <f t="shared" si="6"/>
        <v>8.4263727828973281</v>
      </c>
      <c r="J29" s="608">
        <f t="shared" si="6"/>
        <v>8.4819667021042857</v>
      </c>
      <c r="K29" s="608">
        <f t="shared" si="6"/>
        <v>10.145835064392044</v>
      </c>
      <c r="L29" s="608">
        <f t="shared" si="6"/>
        <v>8.0571077478903881</v>
      </c>
      <c r="M29" s="608">
        <f t="shared" si="6"/>
        <v>8.1206385805322387</v>
      </c>
    </row>
    <row r="30" spans="1:14" ht="13.5" thickBot="1" x14ac:dyDescent="0.25">
      <c r="A30" s="592" t="s">
        <v>326</v>
      </c>
      <c r="B30" s="592" t="s">
        <v>1</v>
      </c>
      <c r="C30" s="592" t="s">
        <v>2</v>
      </c>
      <c r="D30" s="592" t="s">
        <v>3</v>
      </c>
      <c r="E30" s="592" t="s">
        <v>4</v>
      </c>
      <c r="F30" s="592" t="s">
        <v>5</v>
      </c>
      <c r="G30" s="592" t="s">
        <v>6</v>
      </c>
      <c r="H30" s="592" t="s">
        <v>7</v>
      </c>
      <c r="I30" s="592" t="s">
        <v>8</v>
      </c>
      <c r="J30" s="592" t="s">
        <v>9</v>
      </c>
      <c r="K30" s="592" t="s">
        <v>10</v>
      </c>
      <c r="L30" s="592" t="s">
        <v>11</v>
      </c>
      <c r="M30" s="592" t="s">
        <v>12</v>
      </c>
    </row>
    <row r="31" spans="1:14" ht="13.5" thickBot="1" x14ac:dyDescent="0.25">
      <c r="A31" s="594">
        <f>B31+C31+D31+E31+F31+G31+H31+I31+J31+K31+L31+M31</f>
        <v>236452119</v>
      </c>
      <c r="B31" s="848">
        <v>14728672</v>
      </c>
      <c r="C31" s="848">
        <v>34722024</v>
      </c>
      <c r="D31" s="848">
        <v>15822790</v>
      </c>
      <c r="E31" s="848">
        <v>15340894</v>
      </c>
      <c r="F31" s="848">
        <v>16230633</v>
      </c>
      <c r="G31" s="848">
        <v>19288844</v>
      </c>
      <c r="H31" s="848">
        <v>18095469</v>
      </c>
      <c r="I31" s="848">
        <v>19924337</v>
      </c>
      <c r="J31" s="848">
        <v>20055790</v>
      </c>
      <c r="K31" s="848">
        <v>23990042</v>
      </c>
      <c r="L31" s="848">
        <v>19051202</v>
      </c>
      <c r="M31" s="849">
        <v>19201422</v>
      </c>
      <c r="N31" s="755">
        <f>SUM(B31:M31)</f>
        <v>236452119</v>
      </c>
    </row>
    <row r="32" spans="1:14" ht="13.5" thickBot="1" x14ac:dyDescent="0.25">
      <c r="A32" s="600">
        <v>0.22500000000000001</v>
      </c>
      <c r="B32" s="600">
        <v>0.22500000000000001</v>
      </c>
      <c r="C32" s="600">
        <v>0.22500000000000001</v>
      </c>
      <c r="D32" s="600">
        <v>0.22500000000000001</v>
      </c>
      <c r="E32" s="600">
        <v>0.22500000000000001</v>
      </c>
      <c r="F32" s="600">
        <v>0.22500000000000001</v>
      </c>
      <c r="G32" s="600">
        <v>0.22500000000000001</v>
      </c>
      <c r="H32" s="600">
        <v>0.22500000000000001</v>
      </c>
      <c r="I32" s="600">
        <v>0.22500000000000001</v>
      </c>
      <c r="J32" s="600">
        <v>0.22500000000000001</v>
      </c>
      <c r="K32" s="600">
        <v>0.22500000000000001</v>
      </c>
      <c r="L32" s="600">
        <v>0.22500000000000001</v>
      </c>
      <c r="M32" s="600">
        <v>0.22500000000000001</v>
      </c>
      <c r="N32" s="613"/>
    </row>
    <row r="33" spans="1:14" ht="13.5" thickBot="1" x14ac:dyDescent="0.25">
      <c r="A33" s="594">
        <f t="shared" ref="A33:M33" si="7">A31*A32</f>
        <v>53201726.774999999</v>
      </c>
      <c r="B33" s="594">
        <f t="shared" si="7"/>
        <v>3313951.2</v>
      </c>
      <c r="C33" s="594">
        <f t="shared" si="7"/>
        <v>7812455.4000000004</v>
      </c>
      <c r="D33" s="594">
        <f t="shared" si="7"/>
        <v>3560127.75</v>
      </c>
      <c r="E33" s="594">
        <f t="shared" si="7"/>
        <v>3451701.15</v>
      </c>
      <c r="F33" s="594">
        <f t="shared" si="7"/>
        <v>3651892.4250000003</v>
      </c>
      <c r="G33" s="594">
        <f t="shared" si="7"/>
        <v>4339989.9000000004</v>
      </c>
      <c r="H33" s="594">
        <f t="shared" si="7"/>
        <v>4071480.5249999999</v>
      </c>
      <c r="I33" s="594">
        <f t="shared" si="7"/>
        <v>4482975.8250000002</v>
      </c>
      <c r="J33" s="594">
        <f t="shared" si="7"/>
        <v>4512552.75</v>
      </c>
      <c r="K33" s="594">
        <f t="shared" si="7"/>
        <v>5397759.4500000002</v>
      </c>
      <c r="L33" s="594">
        <f t="shared" si="7"/>
        <v>4286520.45</v>
      </c>
      <c r="M33" s="758">
        <f t="shared" si="7"/>
        <v>4320319.95</v>
      </c>
      <c r="N33" s="755">
        <f t="shared" ref="N33" si="8">SUM(B33:M33)</f>
        <v>53201726.775000013</v>
      </c>
    </row>
    <row r="34" spans="1:14" ht="13.5" thickBot="1" x14ac:dyDescent="0.25">
      <c r="A34" s="606" t="s">
        <v>357</v>
      </c>
      <c r="B34" s="604"/>
      <c r="C34" s="604"/>
      <c r="D34" s="604"/>
      <c r="E34" s="604"/>
      <c r="F34" s="604"/>
      <c r="G34" s="604"/>
      <c r="H34" s="604"/>
      <c r="I34" s="604"/>
      <c r="J34" s="604"/>
      <c r="K34" s="604"/>
      <c r="L34" s="604"/>
      <c r="M34" s="604"/>
    </row>
    <row r="35" spans="1:14" x14ac:dyDescent="0.2">
      <c r="A35" s="1304" t="s">
        <v>325</v>
      </c>
      <c r="B35" s="1304"/>
      <c r="C35" s="1304"/>
      <c r="D35" s="1304"/>
      <c r="E35" s="1304"/>
      <c r="F35" s="1304"/>
      <c r="G35" s="1304"/>
      <c r="H35" s="1304"/>
      <c r="I35" s="1304"/>
      <c r="J35" s="1304"/>
      <c r="K35" s="1304"/>
      <c r="L35" s="1304"/>
      <c r="M35" s="1304"/>
    </row>
    <row r="36" spans="1:14" x14ac:dyDescent="0.2">
      <c r="A36" s="1315" t="s">
        <v>426</v>
      </c>
      <c r="B36" s="1315"/>
      <c r="C36" s="1315"/>
      <c r="D36" s="1315"/>
      <c r="E36" s="1315"/>
      <c r="F36" s="1315"/>
      <c r="G36" s="1315"/>
      <c r="H36" s="1315"/>
      <c r="I36" s="1315"/>
      <c r="J36" s="1315"/>
      <c r="K36" s="1315"/>
      <c r="L36" s="1315"/>
      <c r="M36" s="1315"/>
      <c r="N36" s="757"/>
    </row>
    <row r="37" spans="1:14" x14ac:dyDescent="0.2">
      <c r="A37" s="590"/>
      <c r="B37" s="750"/>
      <c r="C37" s="750"/>
      <c r="D37" s="750"/>
      <c r="E37" s="750"/>
      <c r="F37" s="750"/>
      <c r="G37" s="750"/>
      <c r="H37" s="750"/>
      <c r="I37" s="750"/>
      <c r="J37" s="750"/>
      <c r="K37" s="750"/>
      <c r="L37" s="750"/>
      <c r="M37" s="750"/>
    </row>
    <row r="38" spans="1:14" ht="13.5" thickBot="1" x14ac:dyDescent="0.25">
      <c r="A38" s="608">
        <f>SUM(B38:M38)</f>
        <v>99.999999999999986</v>
      </c>
      <c r="B38" s="608">
        <f>B40/$A$40*100</f>
        <v>8.0776748103294764</v>
      </c>
      <c r="C38" s="608">
        <f t="shared" ref="C38:M38" si="9">C40/$A$40*100</f>
        <v>8.2606986991630915</v>
      </c>
      <c r="D38" s="608">
        <f t="shared" si="9"/>
        <v>8.1315042684919181</v>
      </c>
      <c r="E38" s="608">
        <f t="shared" si="9"/>
        <v>7.4794028095535952</v>
      </c>
      <c r="F38" s="608">
        <f t="shared" si="9"/>
        <v>8.386461109036599</v>
      </c>
      <c r="G38" s="608">
        <f t="shared" si="9"/>
        <v>8.2253969297942113</v>
      </c>
      <c r="H38" s="608">
        <f t="shared" si="9"/>
        <v>8.6585786275821235</v>
      </c>
      <c r="I38" s="608">
        <f t="shared" si="9"/>
        <v>8.4161243535191268</v>
      </c>
      <c r="J38" s="608">
        <f t="shared" si="9"/>
        <v>8.6803971300958764</v>
      </c>
      <c r="K38" s="608">
        <f t="shared" si="9"/>
        <v>8.7171698065217935</v>
      </c>
      <c r="L38" s="608">
        <f t="shared" si="9"/>
        <v>8.3067870246148221</v>
      </c>
      <c r="M38" s="608">
        <f t="shared" si="9"/>
        <v>8.6598044312973652</v>
      </c>
    </row>
    <row r="39" spans="1:14" ht="13.5" thickBot="1" x14ac:dyDescent="0.25">
      <c r="A39" s="592" t="s">
        <v>326</v>
      </c>
      <c r="B39" s="592" t="s">
        <v>1</v>
      </c>
      <c r="C39" s="592" t="s">
        <v>2</v>
      </c>
      <c r="D39" s="592" t="s">
        <v>3</v>
      </c>
      <c r="E39" s="592" t="s">
        <v>4</v>
      </c>
      <c r="F39" s="592" t="s">
        <v>5</v>
      </c>
      <c r="G39" s="592" t="s">
        <v>6</v>
      </c>
      <c r="H39" s="592" t="s">
        <v>7</v>
      </c>
      <c r="I39" s="592" t="s">
        <v>8</v>
      </c>
      <c r="J39" s="592" t="s">
        <v>9</v>
      </c>
      <c r="K39" s="592" t="s">
        <v>10</v>
      </c>
      <c r="L39" s="592" t="s">
        <v>11</v>
      </c>
      <c r="M39" s="592" t="s">
        <v>12</v>
      </c>
    </row>
    <row r="40" spans="1:14" ht="13.5" thickBot="1" x14ac:dyDescent="0.25">
      <c r="A40" s="594">
        <f>B40+C40+D40+E40+F40+G40+H40+I40+J40+K40+L40+M40</f>
        <v>348424462</v>
      </c>
      <c r="B40" s="848">
        <v>28144595</v>
      </c>
      <c r="C40" s="848">
        <v>28782295</v>
      </c>
      <c r="D40" s="848">
        <v>28332150</v>
      </c>
      <c r="E40" s="848">
        <v>26060069</v>
      </c>
      <c r="F40" s="848">
        <v>29220482</v>
      </c>
      <c r="G40" s="848">
        <v>28659295</v>
      </c>
      <c r="H40" s="848">
        <v>30168606</v>
      </c>
      <c r="I40" s="848">
        <v>29323836</v>
      </c>
      <c r="J40" s="848">
        <v>30244627</v>
      </c>
      <c r="K40" s="848">
        <v>30372752</v>
      </c>
      <c r="L40" s="848">
        <v>28942878</v>
      </c>
      <c r="M40" s="849">
        <v>30172877</v>
      </c>
      <c r="N40" s="627">
        <f>SUM(B40:M40)</f>
        <v>348424462</v>
      </c>
    </row>
    <row r="41" spans="1:14" ht="13.5" thickBot="1" x14ac:dyDescent="0.25">
      <c r="A41" s="600">
        <v>0.22500000000000001</v>
      </c>
      <c r="B41" s="600">
        <v>0.22500000000000001</v>
      </c>
      <c r="C41" s="600">
        <v>0.22500000000000001</v>
      </c>
      <c r="D41" s="600">
        <v>0.22500000000000001</v>
      </c>
      <c r="E41" s="600">
        <v>0.22500000000000001</v>
      </c>
      <c r="F41" s="600">
        <v>0.22500000000000001</v>
      </c>
      <c r="G41" s="600">
        <v>0.22500000000000001</v>
      </c>
      <c r="H41" s="600">
        <v>0.22500000000000001</v>
      </c>
      <c r="I41" s="600">
        <v>0.22500000000000001</v>
      </c>
      <c r="J41" s="600">
        <v>0.22500000000000001</v>
      </c>
      <c r="K41" s="600">
        <v>0.22500000000000001</v>
      </c>
      <c r="L41" s="600">
        <v>0.22500000000000001</v>
      </c>
      <c r="M41" s="600">
        <v>0.22500000000000001</v>
      </c>
      <c r="N41" s="509"/>
    </row>
    <row r="42" spans="1:14" ht="13.5" thickBot="1" x14ac:dyDescent="0.25">
      <c r="A42" s="594">
        <f t="shared" ref="A42:M42" si="10">A40*A41</f>
        <v>78395503.950000003</v>
      </c>
      <c r="B42" s="594">
        <f t="shared" si="10"/>
        <v>6332533.875</v>
      </c>
      <c r="C42" s="594">
        <f t="shared" si="10"/>
        <v>6476016.375</v>
      </c>
      <c r="D42" s="594">
        <f t="shared" si="10"/>
        <v>6374733.75</v>
      </c>
      <c r="E42" s="594">
        <f t="shared" si="10"/>
        <v>5863515.5250000004</v>
      </c>
      <c r="F42" s="594">
        <f t="shared" si="10"/>
        <v>6574608.4500000002</v>
      </c>
      <c r="G42" s="594">
        <f t="shared" si="10"/>
        <v>6448341.375</v>
      </c>
      <c r="H42" s="594">
        <f t="shared" si="10"/>
        <v>6787936.3500000006</v>
      </c>
      <c r="I42" s="594">
        <f t="shared" si="10"/>
        <v>6597863.1000000006</v>
      </c>
      <c r="J42" s="594">
        <f t="shared" si="10"/>
        <v>6805041.0750000002</v>
      </c>
      <c r="K42" s="594">
        <f t="shared" si="10"/>
        <v>6833869.2000000002</v>
      </c>
      <c r="L42" s="594">
        <f t="shared" si="10"/>
        <v>6512147.5499999998</v>
      </c>
      <c r="M42" s="594">
        <f t="shared" si="10"/>
        <v>6788897.3250000002</v>
      </c>
      <c r="N42" s="627">
        <f t="shared" ref="N42" si="11">SUM(B42:M42)</f>
        <v>78395503.950000003</v>
      </c>
    </row>
    <row r="43" spans="1:14" ht="12.75" customHeight="1" thickBot="1" x14ac:dyDescent="0.25">
      <c r="A43" s="606" t="s">
        <v>357</v>
      </c>
    </row>
    <row r="44" spans="1:14" x14ac:dyDescent="0.2">
      <c r="A44" s="1304" t="s">
        <v>325</v>
      </c>
      <c r="B44" s="1304"/>
      <c r="C44" s="1304"/>
      <c r="D44" s="1304"/>
      <c r="E44" s="1304"/>
      <c r="F44" s="1304"/>
      <c r="G44" s="1304"/>
      <c r="H44" s="1304"/>
      <c r="I44" s="1304"/>
      <c r="J44" s="1304"/>
      <c r="K44" s="1304"/>
      <c r="L44" s="1304"/>
      <c r="M44" s="1304"/>
      <c r="N44" s="753"/>
    </row>
    <row r="45" spans="1:14" x14ac:dyDescent="0.2">
      <c r="A45" s="1315" t="s">
        <v>427</v>
      </c>
      <c r="B45" s="1315"/>
      <c r="C45" s="1315"/>
      <c r="D45" s="1315"/>
      <c r="E45" s="1315"/>
      <c r="F45" s="1315"/>
      <c r="G45" s="1315"/>
      <c r="H45" s="1315"/>
      <c r="I45" s="1315"/>
      <c r="J45" s="1315"/>
      <c r="K45" s="1315"/>
      <c r="L45" s="1315"/>
      <c r="M45" s="1315"/>
      <c r="N45" s="754"/>
    </row>
    <row r="46" spans="1:14" x14ac:dyDescent="0.2">
      <c r="A46" s="590"/>
      <c r="B46" s="750"/>
      <c r="C46" s="750"/>
      <c r="D46" s="750"/>
      <c r="E46" s="750"/>
      <c r="F46" s="750"/>
      <c r="G46" s="750"/>
      <c r="H46" s="750"/>
      <c r="I46" s="750"/>
      <c r="J46" s="750"/>
      <c r="K46" s="750"/>
      <c r="L46" s="750"/>
      <c r="M46" s="750"/>
      <c r="N46" s="753"/>
    </row>
    <row r="47" spans="1:14" ht="13.5" thickBot="1" x14ac:dyDescent="0.25">
      <c r="A47" s="608">
        <f>SUM(B47:M47)</f>
        <v>99.999999999999986</v>
      </c>
      <c r="B47" s="608">
        <f>B49/$A$49*100</f>
        <v>13.737259178229397</v>
      </c>
      <c r="C47" s="608">
        <f t="shared" ref="C47:M47" si="12">C49/$A$49*100</f>
        <v>3.6858261862963442</v>
      </c>
      <c r="D47" s="608">
        <f t="shared" si="12"/>
        <v>3.6858261862963442</v>
      </c>
      <c r="E47" s="608">
        <f t="shared" si="12"/>
        <v>18.66890319150864</v>
      </c>
      <c r="F47" s="608">
        <f t="shared" si="12"/>
        <v>3.6858261862963442</v>
      </c>
      <c r="G47" s="608">
        <f t="shared" si="12"/>
        <v>3.6858261862963442</v>
      </c>
      <c r="H47" s="608">
        <f t="shared" si="12"/>
        <v>19.371719834392142</v>
      </c>
      <c r="I47" s="608">
        <f t="shared" si="12"/>
        <v>3.6858261862963442</v>
      </c>
      <c r="J47" s="608">
        <f t="shared" si="12"/>
        <v>3.6858261862963442</v>
      </c>
      <c r="K47" s="608">
        <f t="shared" si="12"/>
        <v>18.735508305499071</v>
      </c>
      <c r="L47" s="608">
        <f t="shared" si="12"/>
        <v>3.6858261862963442</v>
      </c>
      <c r="M47" s="608">
        <f t="shared" si="12"/>
        <v>3.6858261862963442</v>
      </c>
      <c r="N47" s="753"/>
    </row>
    <row r="48" spans="1:14" ht="13.5" thickBot="1" x14ac:dyDescent="0.25">
      <c r="A48" s="592" t="s">
        <v>326</v>
      </c>
      <c r="B48" s="592" t="s">
        <v>1</v>
      </c>
      <c r="C48" s="592" t="s">
        <v>2</v>
      </c>
      <c r="D48" s="592" t="s">
        <v>3</v>
      </c>
      <c r="E48" s="592" t="s">
        <v>4</v>
      </c>
      <c r="F48" s="592" t="s">
        <v>5</v>
      </c>
      <c r="G48" s="592" t="s">
        <v>6</v>
      </c>
      <c r="H48" s="592" t="s">
        <v>7</v>
      </c>
      <c r="I48" s="592" t="s">
        <v>8</v>
      </c>
      <c r="J48" s="592" t="s">
        <v>9</v>
      </c>
      <c r="K48" s="592" t="s">
        <v>10</v>
      </c>
      <c r="L48" s="592" t="s">
        <v>11</v>
      </c>
      <c r="M48" s="592" t="s">
        <v>12</v>
      </c>
    </row>
    <row r="49" spans="1:15" ht="13.5" thickBot="1" x14ac:dyDescent="0.25">
      <c r="A49" s="594">
        <f>B49+C49+D49+E49+F49+G49+H49+I49+J49+K49+L49+M49</f>
        <v>458511339</v>
      </c>
      <c r="B49" s="848">
        <v>62986891</v>
      </c>
      <c r="C49" s="848">
        <v>16899931</v>
      </c>
      <c r="D49" s="848">
        <v>16899931</v>
      </c>
      <c r="E49" s="848">
        <v>85599038</v>
      </c>
      <c r="F49" s="848">
        <v>16899931</v>
      </c>
      <c r="G49" s="848">
        <v>16899931</v>
      </c>
      <c r="H49" s="848">
        <v>88821532</v>
      </c>
      <c r="I49" s="848">
        <v>16899931</v>
      </c>
      <c r="J49" s="848">
        <v>16899931</v>
      </c>
      <c r="K49" s="848">
        <v>85904430</v>
      </c>
      <c r="L49" s="848">
        <v>16899931</v>
      </c>
      <c r="M49" s="849">
        <v>16899931</v>
      </c>
      <c r="N49" s="627">
        <f>SUM(B49:M49)</f>
        <v>458511339</v>
      </c>
    </row>
    <row r="50" spans="1:15" ht="13.5" thickBot="1" x14ac:dyDescent="0.25">
      <c r="A50" s="600">
        <v>0.22500000000000001</v>
      </c>
      <c r="B50" s="600">
        <v>0.22500000000000001</v>
      </c>
      <c r="C50" s="600">
        <v>0.22500000000000001</v>
      </c>
      <c r="D50" s="600">
        <v>0.22500000000000001</v>
      </c>
      <c r="E50" s="600">
        <v>0.22500000000000001</v>
      </c>
      <c r="F50" s="600">
        <v>0.22500000000000001</v>
      </c>
      <c r="G50" s="600">
        <v>0.22500000000000001</v>
      </c>
      <c r="H50" s="600">
        <v>0.22500000000000001</v>
      </c>
      <c r="I50" s="600">
        <v>0.22500000000000001</v>
      </c>
      <c r="J50" s="600">
        <v>0.22500000000000001</v>
      </c>
      <c r="K50" s="600">
        <v>0.22500000000000001</v>
      </c>
      <c r="L50" s="600">
        <v>0.22500000000000001</v>
      </c>
      <c r="M50" s="600">
        <v>0.22500000000000001</v>
      </c>
      <c r="N50" s="509"/>
    </row>
    <row r="51" spans="1:15" ht="13.5" thickBot="1" x14ac:dyDescent="0.25">
      <c r="A51" s="594">
        <f>A49*A50</f>
        <v>103165051.27500001</v>
      </c>
      <c r="B51" s="594">
        <f t="shared" ref="B51:M51" si="13">B49*B50</f>
        <v>14172050.475</v>
      </c>
      <c r="C51" s="594">
        <f t="shared" si="13"/>
        <v>3802484.4750000001</v>
      </c>
      <c r="D51" s="594">
        <f t="shared" si="13"/>
        <v>3802484.4750000001</v>
      </c>
      <c r="E51" s="594">
        <f t="shared" si="13"/>
        <v>19259783.550000001</v>
      </c>
      <c r="F51" s="594">
        <f t="shared" si="13"/>
        <v>3802484.4750000001</v>
      </c>
      <c r="G51" s="594">
        <f t="shared" si="13"/>
        <v>3802484.4750000001</v>
      </c>
      <c r="H51" s="594">
        <f t="shared" si="13"/>
        <v>19984844.699999999</v>
      </c>
      <c r="I51" s="594">
        <f t="shared" si="13"/>
        <v>3802484.4750000001</v>
      </c>
      <c r="J51" s="594">
        <f t="shared" si="13"/>
        <v>3802484.4750000001</v>
      </c>
      <c r="K51" s="594">
        <f t="shared" si="13"/>
        <v>19328496.75</v>
      </c>
      <c r="L51" s="594">
        <f t="shared" si="13"/>
        <v>3802484.4750000001</v>
      </c>
      <c r="M51" s="758">
        <f t="shared" si="13"/>
        <v>3802484.4750000001</v>
      </c>
      <c r="N51" s="627">
        <f t="shared" ref="N51" si="14">SUM(B51:M51)</f>
        <v>103165051.27499998</v>
      </c>
    </row>
    <row r="52" spans="1:15" ht="13.5" thickBot="1" x14ac:dyDescent="0.25">
      <c r="A52" s="606" t="s">
        <v>357</v>
      </c>
    </row>
    <row r="53" spans="1:15" x14ac:dyDescent="0.2">
      <c r="A53" s="1304" t="s">
        <v>325</v>
      </c>
      <c r="B53" s="1304"/>
      <c r="C53" s="1304"/>
      <c r="D53" s="1304"/>
      <c r="E53" s="1304"/>
      <c r="F53" s="1304"/>
      <c r="G53" s="1304"/>
      <c r="H53" s="1304"/>
      <c r="I53" s="1304"/>
      <c r="J53" s="1304"/>
      <c r="K53" s="1304"/>
      <c r="L53" s="1304"/>
      <c r="M53" s="1304"/>
      <c r="N53" s="753"/>
    </row>
    <row r="54" spans="1:15" x14ac:dyDescent="0.2">
      <c r="A54" s="1315" t="s">
        <v>415</v>
      </c>
      <c r="B54" s="1315"/>
      <c r="C54" s="1315"/>
      <c r="D54" s="1315"/>
      <c r="E54" s="1315"/>
      <c r="F54" s="1315"/>
      <c r="G54" s="1315"/>
      <c r="H54" s="1315"/>
      <c r="I54" s="1315"/>
      <c r="J54" s="1315"/>
      <c r="K54" s="1315"/>
      <c r="L54" s="1315"/>
      <c r="M54" s="1315"/>
      <c r="N54" s="754"/>
    </row>
    <row r="55" spans="1:15" x14ac:dyDescent="0.2">
      <c r="A55" s="590"/>
      <c r="B55" s="750"/>
      <c r="C55" s="750"/>
      <c r="D55" s="750"/>
      <c r="E55" s="750"/>
      <c r="F55" s="750"/>
      <c r="G55" s="750"/>
      <c r="H55" s="750"/>
      <c r="I55" s="750"/>
      <c r="J55" s="750"/>
      <c r="K55" s="750"/>
      <c r="L55" s="750"/>
      <c r="M55" s="750"/>
      <c r="N55" s="753"/>
    </row>
    <row r="56" spans="1:15" ht="13.5" thickBot="1" x14ac:dyDescent="0.25">
      <c r="A56" s="608" t="e">
        <f>SUM(B56:M56)</f>
        <v>#DIV/0!</v>
      </c>
      <c r="B56" s="608" t="e">
        <f>B58/$A$58*100</f>
        <v>#DIV/0!</v>
      </c>
      <c r="C56" s="608" t="e">
        <f t="shared" ref="C56:M56" si="15">C58/$A$58*100</f>
        <v>#DIV/0!</v>
      </c>
      <c r="D56" s="608" t="e">
        <f t="shared" si="15"/>
        <v>#DIV/0!</v>
      </c>
      <c r="E56" s="608" t="e">
        <f t="shared" si="15"/>
        <v>#DIV/0!</v>
      </c>
      <c r="F56" s="608" t="e">
        <f t="shared" si="15"/>
        <v>#DIV/0!</v>
      </c>
      <c r="G56" s="608" t="e">
        <f t="shared" si="15"/>
        <v>#DIV/0!</v>
      </c>
      <c r="H56" s="608" t="e">
        <f t="shared" si="15"/>
        <v>#DIV/0!</v>
      </c>
      <c r="I56" s="608" t="e">
        <f t="shared" si="15"/>
        <v>#DIV/0!</v>
      </c>
      <c r="J56" s="608" t="e">
        <f t="shared" si="15"/>
        <v>#DIV/0!</v>
      </c>
      <c r="K56" s="608" t="e">
        <f t="shared" si="15"/>
        <v>#DIV/0!</v>
      </c>
      <c r="L56" s="608" t="e">
        <f t="shared" si="15"/>
        <v>#DIV/0!</v>
      </c>
      <c r="M56" s="608" t="e">
        <f t="shared" si="15"/>
        <v>#DIV/0!</v>
      </c>
      <c r="N56" s="753"/>
    </row>
    <row r="57" spans="1:15" ht="13.5" thickBot="1" x14ac:dyDescent="0.25">
      <c r="A57" s="592" t="s">
        <v>326</v>
      </c>
      <c r="B57" s="592" t="s">
        <v>1</v>
      </c>
      <c r="C57" s="592" t="s">
        <v>2</v>
      </c>
      <c r="D57" s="592" t="s">
        <v>3</v>
      </c>
      <c r="E57" s="592" t="s">
        <v>4</v>
      </c>
      <c r="F57" s="592" t="s">
        <v>5</v>
      </c>
      <c r="G57" s="592" t="s">
        <v>6</v>
      </c>
      <c r="H57" s="592" t="s">
        <v>7</v>
      </c>
      <c r="I57" s="592" t="s">
        <v>8</v>
      </c>
      <c r="J57" s="592" t="s">
        <v>9</v>
      </c>
      <c r="K57" s="592" t="s">
        <v>10</v>
      </c>
      <c r="L57" s="592" t="s">
        <v>11</v>
      </c>
      <c r="M57" s="592" t="s">
        <v>12</v>
      </c>
    </row>
    <row r="58" spans="1:15" ht="13.5" thickBot="1" x14ac:dyDescent="0.25">
      <c r="A58" s="594">
        <f>B58+C58+D58+E58+F58+G58+H58+I58+J58+K58+L58+M58</f>
        <v>0</v>
      </c>
      <c r="B58" s="848">
        <v>0</v>
      </c>
      <c r="C58" s="848">
        <v>0</v>
      </c>
      <c r="D58" s="848">
        <v>0</v>
      </c>
      <c r="E58" s="848">
        <v>0</v>
      </c>
      <c r="F58" s="848">
        <v>0</v>
      </c>
      <c r="G58" s="848">
        <v>0</v>
      </c>
      <c r="H58" s="848">
        <v>0</v>
      </c>
      <c r="I58" s="848">
        <v>0</v>
      </c>
      <c r="J58" s="848">
        <v>0</v>
      </c>
      <c r="K58" s="848">
        <v>0</v>
      </c>
      <c r="L58" s="848">
        <v>0</v>
      </c>
      <c r="M58" s="849">
        <v>0</v>
      </c>
      <c r="N58" s="755">
        <f>SUM(B58:M58)</f>
        <v>0</v>
      </c>
      <c r="O58" s="613"/>
    </row>
    <row r="59" spans="1:15" ht="13.5" thickBot="1" x14ac:dyDescent="0.25">
      <c r="A59" s="600">
        <v>0.22500000000000001</v>
      </c>
      <c r="B59" s="600">
        <v>0.22500000000000001</v>
      </c>
      <c r="C59" s="600">
        <v>0.22500000000000001</v>
      </c>
      <c r="D59" s="600">
        <v>0.22500000000000001</v>
      </c>
      <c r="E59" s="600">
        <v>0.22500000000000001</v>
      </c>
      <c r="F59" s="600">
        <v>0.22500000000000001</v>
      </c>
      <c r="G59" s="600">
        <v>0.22500000000000001</v>
      </c>
      <c r="H59" s="600">
        <v>0.22500000000000001</v>
      </c>
      <c r="I59" s="600">
        <v>0.22500000000000001</v>
      </c>
      <c r="J59" s="600">
        <v>0.22500000000000001</v>
      </c>
      <c r="K59" s="600">
        <v>0.22500000000000001</v>
      </c>
      <c r="L59" s="600">
        <v>0.22500000000000001</v>
      </c>
      <c r="M59" s="600">
        <v>0.22500000000000001</v>
      </c>
      <c r="N59" s="613"/>
    </row>
    <row r="60" spans="1:15" ht="13.5" thickBot="1" x14ac:dyDescent="0.25">
      <c r="A60" s="594">
        <f>A58*A59</f>
        <v>0</v>
      </c>
      <c r="B60" s="594">
        <f t="shared" ref="B60:H60" si="16">B58*B59</f>
        <v>0</v>
      </c>
      <c r="C60" s="594">
        <f t="shared" si="16"/>
        <v>0</v>
      </c>
      <c r="D60" s="594">
        <f t="shared" si="16"/>
        <v>0</v>
      </c>
      <c r="E60" s="594">
        <f t="shared" si="16"/>
        <v>0</v>
      </c>
      <c r="F60" s="594">
        <f t="shared" si="16"/>
        <v>0</v>
      </c>
      <c r="G60" s="594">
        <f t="shared" si="16"/>
        <v>0</v>
      </c>
      <c r="H60" s="594">
        <f t="shared" si="16"/>
        <v>0</v>
      </c>
      <c r="I60" s="594">
        <f>I58*I59</f>
        <v>0</v>
      </c>
      <c r="J60" s="594">
        <f>J58*J59</f>
        <v>0</v>
      </c>
      <c r="K60" s="594">
        <f>K58*K59</f>
        <v>0</v>
      </c>
      <c r="L60" s="594">
        <f>L58*L59</f>
        <v>0</v>
      </c>
      <c r="M60" s="758">
        <f>M58*M59</f>
        <v>0</v>
      </c>
      <c r="N60" s="755">
        <f>SUM(B60:M60)</f>
        <v>0</v>
      </c>
    </row>
    <row r="61" spans="1:15" ht="13.5" thickBot="1" x14ac:dyDescent="0.25">
      <c r="A61" s="606" t="s">
        <v>357</v>
      </c>
    </row>
    <row r="62" spans="1:15" x14ac:dyDescent="0.2">
      <c r="A62" s="1304" t="s">
        <v>325</v>
      </c>
      <c r="B62" s="1304"/>
      <c r="C62" s="1304"/>
      <c r="D62" s="1304"/>
      <c r="E62" s="1304"/>
      <c r="F62" s="1304"/>
      <c r="G62" s="1304"/>
      <c r="H62" s="1304"/>
      <c r="I62" s="1304"/>
      <c r="J62" s="1304"/>
      <c r="K62" s="1304"/>
      <c r="L62" s="1304"/>
      <c r="M62" s="1304"/>
    </row>
    <row r="63" spans="1:15" x14ac:dyDescent="0.2">
      <c r="A63" s="1315" t="s">
        <v>428</v>
      </c>
      <c r="B63" s="1315"/>
      <c r="C63" s="1315"/>
      <c r="D63" s="1315"/>
      <c r="E63" s="1315"/>
      <c r="F63" s="1315"/>
      <c r="G63" s="1315"/>
      <c r="H63" s="1315"/>
      <c r="I63" s="1315"/>
      <c r="J63" s="1315"/>
      <c r="K63" s="1315"/>
      <c r="L63" s="1315"/>
      <c r="M63" s="1315"/>
    </row>
    <row r="64" spans="1:15" x14ac:dyDescent="0.2">
      <c r="A64" s="590"/>
      <c r="B64" s="750"/>
      <c r="C64" s="750"/>
      <c r="D64" s="750"/>
      <c r="E64" s="750"/>
      <c r="F64" s="750"/>
      <c r="G64" s="750"/>
      <c r="H64" s="750"/>
      <c r="I64" s="750"/>
      <c r="J64" s="750"/>
      <c r="K64" s="750"/>
      <c r="L64" s="750"/>
      <c r="M64" s="750"/>
    </row>
    <row r="65" spans="1:14" ht="13.5" thickBot="1" x14ac:dyDescent="0.25">
      <c r="A65" s="608">
        <f>SUM(B65:M65)</f>
        <v>99.999999999999986</v>
      </c>
      <c r="B65" s="608">
        <f>B67/$A$67*100</f>
        <v>9.1338647284834291</v>
      </c>
      <c r="C65" s="608">
        <f t="shared" ref="C65:M65" si="17">C67/$A$67*100</f>
        <v>9.7243068434936735</v>
      </c>
      <c r="D65" s="608">
        <f t="shared" si="17"/>
        <v>8.4149001278203652</v>
      </c>
      <c r="E65" s="608">
        <f t="shared" si="17"/>
        <v>7.8142593670630687</v>
      </c>
      <c r="F65" s="608">
        <f t="shared" si="17"/>
        <v>8.422835467194826</v>
      </c>
      <c r="G65" s="608">
        <f t="shared" si="17"/>
        <v>7.4011013243302202</v>
      </c>
      <c r="H65" s="608">
        <f t="shared" si="17"/>
        <v>7.8420344315807231</v>
      </c>
      <c r="I65" s="608">
        <f t="shared" si="17"/>
        <v>8.0116626360126322</v>
      </c>
      <c r="J65" s="608">
        <f t="shared" si="17"/>
        <v>8.1237554998585768</v>
      </c>
      <c r="K65" s="608">
        <f t="shared" si="17"/>
        <v>8.0191023608529513</v>
      </c>
      <c r="L65" s="608">
        <f t="shared" si="17"/>
        <v>8.1807938492033578</v>
      </c>
      <c r="M65" s="608">
        <f t="shared" si="17"/>
        <v>8.911383364106177</v>
      </c>
    </row>
    <row r="66" spans="1:14" ht="13.5" thickBot="1" x14ac:dyDescent="0.25">
      <c r="A66" s="592" t="s">
        <v>326</v>
      </c>
      <c r="B66" s="592" t="s">
        <v>1</v>
      </c>
      <c r="C66" s="592" t="s">
        <v>2</v>
      </c>
      <c r="D66" s="592" t="s">
        <v>3</v>
      </c>
      <c r="E66" s="592" t="s">
        <v>4</v>
      </c>
      <c r="F66" s="592" t="s">
        <v>5</v>
      </c>
      <c r="G66" s="592" t="s">
        <v>6</v>
      </c>
      <c r="H66" s="592" t="s">
        <v>7</v>
      </c>
      <c r="I66" s="592" t="s">
        <v>8</v>
      </c>
      <c r="J66" s="592" t="s">
        <v>9</v>
      </c>
      <c r="K66" s="592" t="s">
        <v>10</v>
      </c>
      <c r="L66" s="592" t="s">
        <v>11</v>
      </c>
      <c r="M66" s="592" t="s">
        <v>12</v>
      </c>
    </row>
    <row r="67" spans="1:14" ht="13.5" thickBot="1" x14ac:dyDescent="0.25">
      <c r="A67" s="594">
        <f>B67+C67+D67+E67+F67+G67+H67+I67+J67+K67+L67+M67</f>
        <v>72637095</v>
      </c>
      <c r="B67" s="848">
        <v>6634574</v>
      </c>
      <c r="C67" s="848">
        <v>7063454</v>
      </c>
      <c r="D67" s="848">
        <v>6112339</v>
      </c>
      <c r="E67" s="848">
        <v>5676051</v>
      </c>
      <c r="F67" s="848">
        <v>6118103</v>
      </c>
      <c r="G67" s="848">
        <v>5375945</v>
      </c>
      <c r="H67" s="848">
        <v>5696226</v>
      </c>
      <c r="I67" s="848">
        <v>5819439</v>
      </c>
      <c r="J67" s="848">
        <v>5900860</v>
      </c>
      <c r="K67" s="848">
        <v>5824843</v>
      </c>
      <c r="L67" s="848">
        <v>5942291</v>
      </c>
      <c r="M67" s="849">
        <v>6472970</v>
      </c>
      <c r="N67" s="627">
        <f>SUM(B67:M67)</f>
        <v>72637095</v>
      </c>
    </row>
    <row r="68" spans="1:14" ht="13.5" thickBot="1" x14ac:dyDescent="0.25">
      <c r="A68" s="600">
        <v>0.22500000000000001</v>
      </c>
      <c r="B68" s="600">
        <v>0.22500000000000001</v>
      </c>
      <c r="C68" s="600">
        <v>0.22500000000000001</v>
      </c>
      <c r="D68" s="600">
        <v>0.22500000000000001</v>
      </c>
      <c r="E68" s="600">
        <v>0.22500000000000001</v>
      </c>
      <c r="F68" s="600">
        <v>0.22500000000000001</v>
      </c>
      <c r="G68" s="600">
        <v>0.22500000000000001</v>
      </c>
      <c r="H68" s="600">
        <v>0.22500000000000001</v>
      </c>
      <c r="I68" s="600">
        <v>0.22500000000000001</v>
      </c>
      <c r="J68" s="600">
        <v>0.22500000000000001</v>
      </c>
      <c r="K68" s="600">
        <v>0.22500000000000001</v>
      </c>
      <c r="L68" s="600">
        <v>0.22500000000000001</v>
      </c>
      <c r="M68" s="600">
        <v>0.22500000000000001</v>
      </c>
      <c r="N68" s="509"/>
    </row>
    <row r="69" spans="1:14" ht="13.5" thickBot="1" x14ac:dyDescent="0.25">
      <c r="A69" s="594">
        <f t="shared" ref="A69:M69" si="18">A67*A68</f>
        <v>16343346.375</v>
      </c>
      <c r="B69" s="594">
        <f t="shared" si="18"/>
        <v>1492779.1500000001</v>
      </c>
      <c r="C69" s="594">
        <f t="shared" si="18"/>
        <v>1589277.1500000001</v>
      </c>
      <c r="D69" s="594">
        <f t="shared" si="18"/>
        <v>1375276.2750000001</v>
      </c>
      <c r="E69" s="594">
        <f t="shared" si="18"/>
        <v>1277111.4750000001</v>
      </c>
      <c r="F69" s="594">
        <f t="shared" si="18"/>
        <v>1376573.175</v>
      </c>
      <c r="G69" s="594">
        <f t="shared" si="18"/>
        <v>1209587.625</v>
      </c>
      <c r="H69" s="594">
        <f t="shared" si="18"/>
        <v>1281650.8500000001</v>
      </c>
      <c r="I69" s="594">
        <f t="shared" si="18"/>
        <v>1309373.7750000001</v>
      </c>
      <c r="J69" s="594">
        <f t="shared" si="18"/>
        <v>1327693.5</v>
      </c>
      <c r="K69" s="594">
        <f t="shared" si="18"/>
        <v>1310589.675</v>
      </c>
      <c r="L69" s="594">
        <f t="shared" si="18"/>
        <v>1337015.4750000001</v>
      </c>
      <c r="M69" s="758">
        <f t="shared" si="18"/>
        <v>1456418.25</v>
      </c>
      <c r="N69" s="627">
        <f t="shared" ref="N69" si="19">SUM(B69:M69)</f>
        <v>16343346.375000002</v>
      </c>
    </row>
    <row r="70" spans="1:14" ht="13.5" thickBot="1" x14ac:dyDescent="0.25">
      <c r="A70" s="606" t="s">
        <v>357</v>
      </c>
    </row>
    <row r="71" spans="1:14" x14ac:dyDescent="0.2">
      <c r="A71" s="1304" t="s">
        <v>325</v>
      </c>
      <c r="B71" s="1304"/>
      <c r="C71" s="1304"/>
      <c r="D71" s="1304"/>
      <c r="E71" s="1304"/>
      <c r="F71" s="1304"/>
      <c r="G71" s="1304"/>
      <c r="H71" s="1304"/>
      <c r="I71" s="1304"/>
      <c r="J71" s="1304"/>
      <c r="K71" s="1304"/>
      <c r="L71" s="1304"/>
      <c r="M71" s="1304"/>
    </row>
    <row r="72" spans="1:14" x14ac:dyDescent="0.2">
      <c r="A72" s="1315" t="s">
        <v>429</v>
      </c>
      <c r="B72" s="1315"/>
      <c r="C72" s="1315"/>
      <c r="D72" s="1315"/>
      <c r="E72" s="1315"/>
      <c r="F72" s="1315"/>
      <c r="G72" s="1315"/>
      <c r="H72" s="1315"/>
      <c r="I72" s="1315"/>
      <c r="J72" s="1315"/>
      <c r="K72" s="1315"/>
      <c r="L72" s="1315"/>
      <c r="M72" s="1315"/>
    </row>
    <row r="73" spans="1:14" x14ac:dyDescent="0.2">
      <c r="A73" s="590"/>
      <c r="B73" s="750"/>
      <c r="C73" s="750"/>
      <c r="D73" s="750"/>
      <c r="E73" s="750"/>
      <c r="F73" s="750"/>
      <c r="G73" s="750"/>
      <c r="H73" s="750"/>
      <c r="I73" s="750"/>
      <c r="J73" s="750"/>
      <c r="K73" s="750"/>
      <c r="L73" s="750"/>
      <c r="M73" s="750"/>
    </row>
    <row r="74" spans="1:14" ht="13.5" thickBot="1" x14ac:dyDescent="0.25">
      <c r="A74" s="608">
        <f>SUM(B74:M74)</f>
        <v>99.999999999999957</v>
      </c>
      <c r="B74" s="608">
        <f>B76/$A$76*100</f>
        <v>8.3333333333333321</v>
      </c>
      <c r="C74" s="608">
        <f t="shared" ref="C74:M74" si="20">C76/$A$76*100</f>
        <v>8.3333333333333321</v>
      </c>
      <c r="D74" s="608">
        <f t="shared" si="20"/>
        <v>8.3333333333333321</v>
      </c>
      <c r="E74" s="608">
        <f t="shared" si="20"/>
        <v>8.3333333333333321</v>
      </c>
      <c r="F74" s="608">
        <f t="shared" si="20"/>
        <v>8.3333333333333321</v>
      </c>
      <c r="G74" s="608">
        <f t="shared" si="20"/>
        <v>8.3333333333333321</v>
      </c>
      <c r="H74" s="608">
        <f t="shared" si="20"/>
        <v>8.3333333333333321</v>
      </c>
      <c r="I74" s="608">
        <f t="shared" si="20"/>
        <v>8.3333333333333321</v>
      </c>
      <c r="J74" s="608">
        <f t="shared" si="20"/>
        <v>8.3333333333333321</v>
      </c>
      <c r="K74" s="608">
        <f t="shared" si="20"/>
        <v>8.3333333333333321</v>
      </c>
      <c r="L74" s="608">
        <f t="shared" si="20"/>
        <v>8.3333333333333321</v>
      </c>
      <c r="M74" s="608">
        <f t="shared" si="20"/>
        <v>8.3333333333333321</v>
      </c>
    </row>
    <row r="75" spans="1:14" ht="13.5" thickBot="1" x14ac:dyDescent="0.25">
      <c r="A75" s="592" t="s">
        <v>326</v>
      </c>
      <c r="B75" s="592" t="s">
        <v>1</v>
      </c>
      <c r="C75" s="592" t="s">
        <v>2</v>
      </c>
      <c r="D75" s="592" t="s">
        <v>3</v>
      </c>
      <c r="E75" s="592" t="s">
        <v>4</v>
      </c>
      <c r="F75" s="592" t="s">
        <v>5</v>
      </c>
      <c r="G75" s="592" t="s">
        <v>6</v>
      </c>
      <c r="H75" s="592" t="s">
        <v>7</v>
      </c>
      <c r="I75" s="592" t="s">
        <v>8</v>
      </c>
      <c r="J75" s="592" t="s">
        <v>9</v>
      </c>
      <c r="K75" s="592" t="s">
        <v>10</v>
      </c>
      <c r="L75" s="592" t="s">
        <v>11</v>
      </c>
      <c r="M75" s="592" t="s">
        <v>12</v>
      </c>
      <c r="N75" s="509"/>
    </row>
    <row r="76" spans="1:14" ht="13.5" thickBot="1" x14ac:dyDescent="0.25">
      <c r="A76" s="594">
        <f>B76+C76+D76+E76+F76+G76+H76+I76+J76+K76+L76+M76</f>
        <v>14488212</v>
      </c>
      <c r="B76" s="848">
        <v>1207351</v>
      </c>
      <c r="C76" s="848">
        <v>1207351</v>
      </c>
      <c r="D76" s="848">
        <v>1207351</v>
      </c>
      <c r="E76" s="848">
        <v>1207351</v>
      </c>
      <c r="F76" s="848">
        <v>1207351</v>
      </c>
      <c r="G76" s="848">
        <v>1207351</v>
      </c>
      <c r="H76" s="848">
        <v>1207351</v>
      </c>
      <c r="I76" s="848">
        <v>1207351</v>
      </c>
      <c r="J76" s="848">
        <v>1207351</v>
      </c>
      <c r="K76" s="848">
        <v>1207351</v>
      </c>
      <c r="L76" s="848">
        <v>1207351</v>
      </c>
      <c r="M76" s="849">
        <v>1207351</v>
      </c>
      <c r="N76" s="627">
        <f>SUM(B76:M76)</f>
        <v>14488212</v>
      </c>
    </row>
    <row r="77" spans="1:14" ht="13.5" thickBot="1" x14ac:dyDescent="0.25">
      <c r="A77" s="600">
        <v>0.22500000000000001</v>
      </c>
      <c r="B77" s="600">
        <v>0.22500000000000001</v>
      </c>
      <c r="C77" s="600">
        <v>0.22500000000000001</v>
      </c>
      <c r="D77" s="600">
        <v>0.22500000000000001</v>
      </c>
      <c r="E77" s="600">
        <v>0.22500000000000001</v>
      </c>
      <c r="F77" s="600">
        <v>0.22500000000000001</v>
      </c>
      <c r="G77" s="600">
        <v>0.22500000000000001</v>
      </c>
      <c r="H77" s="600">
        <v>0.22500000000000001</v>
      </c>
      <c r="I77" s="600">
        <v>0.22500000000000001</v>
      </c>
      <c r="J77" s="600">
        <v>0.22500000000000001</v>
      </c>
      <c r="K77" s="600">
        <v>0.22500000000000001</v>
      </c>
      <c r="L77" s="600">
        <v>0.22500000000000001</v>
      </c>
      <c r="M77" s="600">
        <v>0.22500000000000001</v>
      </c>
    </row>
    <row r="78" spans="1:14" ht="13.5" thickBot="1" x14ac:dyDescent="0.25">
      <c r="A78" s="594">
        <f t="shared" ref="A78:M78" si="21">A76*A77</f>
        <v>3259847.7</v>
      </c>
      <c r="B78" s="594">
        <f t="shared" si="21"/>
        <v>271653.97500000003</v>
      </c>
      <c r="C78" s="594">
        <f t="shared" si="21"/>
        <v>271653.97500000003</v>
      </c>
      <c r="D78" s="594">
        <f t="shared" si="21"/>
        <v>271653.97500000003</v>
      </c>
      <c r="E78" s="594">
        <f t="shared" si="21"/>
        <v>271653.97500000003</v>
      </c>
      <c r="F78" s="594">
        <f t="shared" si="21"/>
        <v>271653.97500000003</v>
      </c>
      <c r="G78" s="594">
        <f t="shared" si="21"/>
        <v>271653.97500000003</v>
      </c>
      <c r="H78" s="594">
        <f t="shared" si="21"/>
        <v>271653.97500000003</v>
      </c>
      <c r="I78" s="594">
        <f t="shared" si="21"/>
        <v>271653.97500000003</v>
      </c>
      <c r="J78" s="594">
        <f t="shared" si="21"/>
        <v>271653.97500000003</v>
      </c>
      <c r="K78" s="594">
        <f t="shared" si="21"/>
        <v>271653.97500000003</v>
      </c>
      <c r="L78" s="594">
        <f t="shared" si="21"/>
        <v>271653.97500000003</v>
      </c>
      <c r="M78" s="758">
        <f t="shared" si="21"/>
        <v>271653.97500000003</v>
      </c>
      <c r="N78" s="627">
        <f>SUM(B78:M78)</f>
        <v>3259847.7000000007</v>
      </c>
    </row>
    <row r="79" spans="1:14" ht="13.5" thickBot="1" x14ac:dyDescent="0.25">
      <c r="A79" s="606" t="s">
        <v>357</v>
      </c>
    </row>
    <row r="80" spans="1:14" x14ac:dyDescent="0.2">
      <c r="A80" s="1311"/>
      <c r="B80" s="1311"/>
      <c r="C80" s="1311"/>
      <c r="D80" s="1311"/>
      <c r="E80" s="1311"/>
      <c r="F80" s="1311"/>
      <c r="G80" s="1311"/>
      <c r="H80" s="1311"/>
      <c r="I80" s="1311"/>
      <c r="J80" s="1311"/>
      <c r="K80" s="1311"/>
      <c r="L80" s="1311"/>
      <c r="M80" s="1311"/>
    </row>
    <row r="81" spans="1:26" x14ac:dyDescent="0.2">
      <c r="A81" s="1311"/>
      <c r="B81" s="1311"/>
      <c r="C81" s="1311"/>
      <c r="D81" s="1311"/>
      <c r="E81" s="1311"/>
      <c r="F81" s="1311"/>
      <c r="G81" s="1311"/>
      <c r="H81" s="1311"/>
      <c r="I81" s="1311"/>
      <c r="J81" s="1311"/>
      <c r="K81" s="1311"/>
      <c r="L81" s="1311"/>
      <c r="M81" s="1311"/>
    </row>
    <row r="82" spans="1:26" x14ac:dyDescent="0.2">
      <c r="A82" s="1304" t="s">
        <v>325</v>
      </c>
      <c r="B82" s="1304"/>
      <c r="C82" s="1304"/>
      <c r="D82" s="1304"/>
      <c r="E82" s="1304"/>
      <c r="F82" s="1304"/>
      <c r="G82" s="1304"/>
      <c r="H82" s="1304"/>
      <c r="I82" s="1304"/>
      <c r="J82" s="1304"/>
      <c r="K82" s="1304"/>
      <c r="L82" s="1304"/>
      <c r="M82" s="1304"/>
    </row>
    <row r="83" spans="1:26" x14ac:dyDescent="0.2">
      <c r="A83" s="1315" t="s">
        <v>430</v>
      </c>
      <c r="B83" s="1315"/>
      <c r="C83" s="1315"/>
      <c r="D83" s="1315"/>
      <c r="E83" s="1315"/>
      <c r="F83" s="1315"/>
      <c r="G83" s="1315"/>
      <c r="H83" s="1315"/>
      <c r="I83" s="1315"/>
      <c r="J83" s="1315"/>
      <c r="K83" s="1315"/>
      <c r="L83" s="1315"/>
      <c r="M83" s="1315"/>
      <c r="N83" s="622"/>
      <c r="O83" s="622"/>
      <c r="P83" s="622"/>
      <c r="Q83" s="622"/>
      <c r="R83" s="622"/>
      <c r="S83" s="622"/>
      <c r="T83" s="622"/>
      <c r="U83" s="622"/>
      <c r="V83" s="622"/>
      <c r="W83" s="622"/>
      <c r="X83" s="622"/>
      <c r="Y83" s="622"/>
      <c r="Z83" s="622"/>
    </row>
    <row r="84" spans="1:26" ht="13.5" thickBot="1" x14ac:dyDescent="0.25">
      <c r="A84" s="608"/>
      <c r="B84" s="759">
        <f>B86/$A$86*100</f>
        <v>13.637435366553898</v>
      </c>
      <c r="C84" s="759">
        <f t="shared" ref="C84:M84" si="22">C86/$A$86*100</f>
        <v>12.3102131480076</v>
      </c>
      <c r="D84" s="759">
        <f t="shared" si="22"/>
        <v>9.2288028697163114</v>
      </c>
      <c r="E84" s="759">
        <f t="shared" si="22"/>
        <v>8.2406128997098165</v>
      </c>
      <c r="F84" s="759">
        <f t="shared" si="22"/>
        <v>7.7161614322333429</v>
      </c>
      <c r="G84" s="759">
        <f t="shared" si="22"/>
        <v>6.7806360963334633</v>
      </c>
      <c r="H84" s="759">
        <f t="shared" si="22"/>
        <v>7.4588959468437857</v>
      </c>
      <c r="I84" s="759">
        <f t="shared" si="22"/>
        <v>5.8800446792082237</v>
      </c>
      <c r="J84" s="759">
        <f t="shared" si="22"/>
        <v>7.5606620606830255</v>
      </c>
      <c r="K84" s="759">
        <f t="shared" si="22"/>
        <v>7.3656796286095938</v>
      </c>
      <c r="L84" s="759">
        <f t="shared" si="22"/>
        <v>8.3341952607144769</v>
      </c>
      <c r="M84" s="759">
        <f t="shared" si="22"/>
        <v>5.4866606113864638</v>
      </c>
      <c r="N84" s="622"/>
      <c r="O84" s="622"/>
    </row>
    <row r="85" spans="1:26" ht="13.5" thickBot="1" x14ac:dyDescent="0.25">
      <c r="A85" s="592" t="s">
        <v>326</v>
      </c>
      <c r="B85" s="592" t="s">
        <v>1</v>
      </c>
      <c r="C85" s="592" t="s">
        <v>2</v>
      </c>
      <c r="D85" s="592" t="s">
        <v>3</v>
      </c>
      <c r="E85" s="592" t="s">
        <v>4</v>
      </c>
      <c r="F85" s="592" t="s">
        <v>5</v>
      </c>
      <c r="G85" s="592" t="s">
        <v>6</v>
      </c>
      <c r="H85" s="592" t="s">
        <v>7</v>
      </c>
      <c r="I85" s="592" t="s">
        <v>8</v>
      </c>
      <c r="J85" s="592" t="s">
        <v>9</v>
      </c>
      <c r="K85" s="592" t="s">
        <v>10</v>
      </c>
      <c r="L85" s="592" t="s">
        <v>11</v>
      </c>
      <c r="M85" s="592" t="s">
        <v>12</v>
      </c>
      <c r="N85" s="622"/>
      <c r="O85" s="622"/>
    </row>
    <row r="86" spans="1:26" ht="13.5" thickBot="1" x14ac:dyDescent="0.25">
      <c r="A86" s="594">
        <f>B86+C86+D86+E86+F86+G86+H86+I86+J86+K86+L86+M86</f>
        <v>867658169</v>
      </c>
      <c r="B86" s="848">
        <v>118326322</v>
      </c>
      <c r="C86" s="848">
        <v>106810570</v>
      </c>
      <c r="D86" s="848">
        <v>80074462</v>
      </c>
      <c r="E86" s="848">
        <v>71500351</v>
      </c>
      <c r="F86" s="848">
        <v>66949905</v>
      </c>
      <c r="G86" s="848">
        <v>58832743</v>
      </c>
      <c r="H86" s="848">
        <v>64717720</v>
      </c>
      <c r="I86" s="848">
        <v>51018688</v>
      </c>
      <c r="J86" s="848">
        <v>65600702</v>
      </c>
      <c r="K86" s="848">
        <v>63908921</v>
      </c>
      <c r="L86" s="848">
        <v>72312326</v>
      </c>
      <c r="M86" s="849">
        <v>47605459</v>
      </c>
      <c r="N86" s="627">
        <f>SUM(B86:M86)</f>
        <v>867658169</v>
      </c>
    </row>
    <row r="87" spans="1:26" ht="13.5" thickBot="1" x14ac:dyDescent="0.25">
      <c r="A87" s="600">
        <v>0.22500000000000001</v>
      </c>
      <c r="B87" s="600">
        <v>0.22500000000000001</v>
      </c>
      <c r="C87" s="600">
        <v>0.22500000000000001</v>
      </c>
      <c r="D87" s="600">
        <v>0.22500000000000001</v>
      </c>
      <c r="E87" s="600">
        <v>0.22500000000000001</v>
      </c>
      <c r="F87" s="600">
        <v>0.22500000000000001</v>
      </c>
      <c r="G87" s="600">
        <v>0.22500000000000001</v>
      </c>
      <c r="H87" s="600">
        <v>0.22500000000000001</v>
      </c>
      <c r="I87" s="600">
        <v>0.22500000000000001</v>
      </c>
      <c r="J87" s="600">
        <v>0.22500000000000001</v>
      </c>
      <c r="K87" s="600">
        <v>0.22500000000000001</v>
      </c>
      <c r="L87" s="600">
        <v>0.22500000000000001</v>
      </c>
      <c r="M87" s="600">
        <v>0.22500000000000001</v>
      </c>
    </row>
    <row r="88" spans="1:26" ht="13.5" thickBot="1" x14ac:dyDescent="0.25">
      <c r="A88" s="594">
        <f t="shared" ref="A88:M88" si="23">A86*A87</f>
        <v>195223088.02500001</v>
      </c>
      <c r="B88" s="594">
        <f t="shared" si="23"/>
        <v>26623422.449999999</v>
      </c>
      <c r="C88" s="594">
        <f t="shared" si="23"/>
        <v>24032378.25</v>
      </c>
      <c r="D88" s="594">
        <f t="shared" si="23"/>
        <v>18016753.949999999</v>
      </c>
      <c r="E88" s="594">
        <f t="shared" si="23"/>
        <v>16087578.975</v>
      </c>
      <c r="F88" s="594">
        <f t="shared" si="23"/>
        <v>15063728.625</v>
      </c>
      <c r="G88" s="594">
        <f t="shared" si="23"/>
        <v>13237367.175000001</v>
      </c>
      <c r="H88" s="594">
        <f t="shared" si="23"/>
        <v>14561487</v>
      </c>
      <c r="I88" s="594">
        <f t="shared" si="23"/>
        <v>11479204.800000001</v>
      </c>
      <c r="J88" s="594">
        <f t="shared" si="23"/>
        <v>14760157.950000001</v>
      </c>
      <c r="K88" s="594">
        <f t="shared" si="23"/>
        <v>14379507.225</v>
      </c>
      <c r="L88" s="594">
        <f t="shared" si="23"/>
        <v>16270273.35</v>
      </c>
      <c r="M88" s="758">
        <f t="shared" si="23"/>
        <v>10711228.275</v>
      </c>
      <c r="N88" s="627">
        <f>SUM(B88:M88)</f>
        <v>195223088.02499998</v>
      </c>
    </row>
    <row r="89" spans="1:26" ht="13.5" thickBot="1" x14ac:dyDescent="0.25">
      <c r="A89" s="606" t="s">
        <v>357</v>
      </c>
    </row>
    <row r="92" spans="1:26" x14ac:dyDescent="0.2">
      <c r="A92" s="1304" t="s">
        <v>325</v>
      </c>
      <c r="B92" s="1304"/>
      <c r="C92" s="1304"/>
      <c r="D92" s="1304"/>
      <c r="E92" s="1304"/>
      <c r="F92" s="1304"/>
      <c r="G92" s="1304"/>
      <c r="H92" s="1304"/>
      <c r="I92" s="1304"/>
      <c r="J92" s="1304"/>
      <c r="K92" s="1304"/>
      <c r="L92" s="1304"/>
      <c r="M92" s="1304"/>
    </row>
    <row r="93" spans="1:26" x14ac:dyDescent="0.2">
      <c r="A93" s="1315" t="s">
        <v>431</v>
      </c>
      <c r="B93" s="1315"/>
      <c r="C93" s="1315"/>
      <c r="D93" s="1315"/>
      <c r="E93" s="1315"/>
      <c r="F93" s="1315"/>
      <c r="G93" s="1315"/>
      <c r="H93" s="1315"/>
      <c r="I93" s="1315"/>
      <c r="J93" s="1315"/>
      <c r="K93" s="1315"/>
      <c r="L93" s="1315"/>
      <c r="M93" s="1315"/>
    </row>
    <row r="94" spans="1:26" ht="13.5" thickBot="1" x14ac:dyDescent="0.25">
      <c r="A94" s="623">
        <f>SUM(B94:M94)</f>
        <v>100</v>
      </c>
      <c r="B94" s="759">
        <f>B96/$A$96*100</f>
        <v>10.147617743098525</v>
      </c>
      <c r="C94" s="759">
        <f t="shared" ref="C94:M94" si="24">C96/$A$96*100</f>
        <v>9.2324984701872825</v>
      </c>
      <c r="D94" s="759">
        <f t="shared" si="24"/>
        <v>9.0150971260513213</v>
      </c>
      <c r="E94" s="759">
        <f t="shared" si="24"/>
        <v>5.8623840307494977</v>
      </c>
      <c r="F94" s="759">
        <f t="shared" si="24"/>
        <v>7.5404285154991282</v>
      </c>
      <c r="G94" s="759">
        <f t="shared" si="24"/>
        <v>8.2819809578989236</v>
      </c>
      <c r="H94" s="759">
        <f t="shared" si="24"/>
        <v>10.199809809904369</v>
      </c>
      <c r="I94" s="759">
        <f t="shared" si="24"/>
        <v>7.3105761227460846</v>
      </c>
      <c r="J94" s="759">
        <f t="shared" si="24"/>
        <v>9.1179461988746038</v>
      </c>
      <c r="K94" s="759">
        <f t="shared" si="24"/>
        <v>6.9258400324960556</v>
      </c>
      <c r="L94" s="759">
        <f t="shared" si="24"/>
        <v>8.6660872796203758</v>
      </c>
      <c r="M94" s="759">
        <f t="shared" si="24"/>
        <v>7.6997337128738339</v>
      </c>
    </row>
    <row r="95" spans="1:26" ht="13.5" thickBot="1" x14ac:dyDescent="0.25">
      <c r="A95" s="592" t="s">
        <v>326</v>
      </c>
      <c r="B95" s="592" t="s">
        <v>1</v>
      </c>
      <c r="C95" s="592" t="s">
        <v>2</v>
      </c>
      <c r="D95" s="592" t="s">
        <v>3</v>
      </c>
      <c r="E95" s="592" t="s">
        <v>4</v>
      </c>
      <c r="F95" s="592" t="s">
        <v>5</v>
      </c>
      <c r="G95" s="592" t="s">
        <v>6</v>
      </c>
      <c r="H95" s="592" t="s">
        <v>7</v>
      </c>
      <c r="I95" s="592" t="s">
        <v>8</v>
      </c>
      <c r="J95" s="592" t="s">
        <v>9</v>
      </c>
      <c r="K95" s="592" t="s">
        <v>10</v>
      </c>
      <c r="L95" s="592" t="s">
        <v>11</v>
      </c>
      <c r="M95" s="592" t="s">
        <v>12</v>
      </c>
    </row>
    <row r="96" spans="1:26" ht="13.5" thickBot="1" x14ac:dyDescent="0.25">
      <c r="A96" s="594">
        <f>B96+C96+D96+E96+F96+G96+H96+I96+J96+K96+L96+M96</f>
        <v>7621848</v>
      </c>
      <c r="B96" s="848">
        <v>773436</v>
      </c>
      <c r="C96" s="848">
        <v>703687</v>
      </c>
      <c r="D96" s="848">
        <v>687117</v>
      </c>
      <c r="E96" s="848">
        <v>446822</v>
      </c>
      <c r="F96" s="848">
        <v>574720</v>
      </c>
      <c r="G96" s="848">
        <v>631240</v>
      </c>
      <c r="H96" s="848">
        <v>777414</v>
      </c>
      <c r="I96" s="848">
        <v>557201</v>
      </c>
      <c r="J96" s="848">
        <v>694956</v>
      </c>
      <c r="K96" s="848">
        <v>527877</v>
      </c>
      <c r="L96" s="848">
        <v>660516</v>
      </c>
      <c r="M96" s="849">
        <v>586862</v>
      </c>
      <c r="N96" s="627">
        <f>SUM(B96:M96)</f>
        <v>7621848</v>
      </c>
    </row>
    <row r="97" spans="1:18" ht="13.5" thickBot="1" x14ac:dyDescent="0.25">
      <c r="A97" s="600">
        <v>0.22500000000000001</v>
      </c>
      <c r="B97" s="600">
        <v>0.22500000000000001</v>
      </c>
      <c r="C97" s="600">
        <v>0.22500000000000001</v>
      </c>
      <c r="D97" s="600">
        <v>0.22500000000000001</v>
      </c>
      <c r="E97" s="600">
        <v>0.22500000000000001</v>
      </c>
      <c r="F97" s="600">
        <v>0.22500000000000001</v>
      </c>
      <c r="G97" s="600">
        <v>0.22500000000000001</v>
      </c>
      <c r="H97" s="600">
        <v>0.22500000000000001</v>
      </c>
      <c r="I97" s="600">
        <v>0.22500000000000001</v>
      </c>
      <c r="J97" s="600">
        <v>0.22500000000000001</v>
      </c>
      <c r="K97" s="600">
        <v>0.22500000000000001</v>
      </c>
      <c r="L97" s="600">
        <v>0.22500000000000001</v>
      </c>
      <c r="M97" s="600">
        <v>0.22500000000000001</v>
      </c>
    </row>
    <row r="98" spans="1:18" ht="13.5" thickBot="1" x14ac:dyDescent="0.25">
      <c r="A98" s="594">
        <f t="shared" ref="A98:M98" si="25">A96*A97</f>
        <v>1714915.8</v>
      </c>
      <c r="B98" s="594">
        <f t="shared" si="25"/>
        <v>174023.1</v>
      </c>
      <c r="C98" s="594">
        <f t="shared" si="25"/>
        <v>158329.57500000001</v>
      </c>
      <c r="D98" s="594">
        <f t="shared" si="25"/>
        <v>154601.32500000001</v>
      </c>
      <c r="E98" s="594">
        <f t="shared" si="25"/>
        <v>100534.95</v>
      </c>
      <c r="F98" s="594">
        <f t="shared" si="25"/>
        <v>129312</v>
      </c>
      <c r="G98" s="594">
        <f t="shared" si="25"/>
        <v>142029</v>
      </c>
      <c r="H98" s="594">
        <f t="shared" si="25"/>
        <v>174918.15</v>
      </c>
      <c r="I98" s="594">
        <f t="shared" si="25"/>
        <v>125370.22500000001</v>
      </c>
      <c r="J98" s="594">
        <f t="shared" si="25"/>
        <v>156365.1</v>
      </c>
      <c r="K98" s="594">
        <f t="shared" si="25"/>
        <v>118772.325</v>
      </c>
      <c r="L98" s="594">
        <f t="shared" si="25"/>
        <v>148616.1</v>
      </c>
      <c r="M98" s="758">
        <f t="shared" si="25"/>
        <v>132043.95000000001</v>
      </c>
      <c r="N98" s="627">
        <f>SUM(B98:M98)</f>
        <v>1714915.8000000003</v>
      </c>
    </row>
    <row r="99" spans="1:18" ht="13.5" thickBot="1" x14ac:dyDescent="0.25">
      <c r="A99" s="606" t="s">
        <v>357</v>
      </c>
    </row>
    <row r="102" spans="1:18" x14ac:dyDescent="0.2">
      <c r="A102" s="1304" t="s">
        <v>325</v>
      </c>
      <c r="B102" s="1304"/>
      <c r="C102" s="1304"/>
      <c r="D102" s="1304"/>
      <c r="E102" s="1304"/>
      <c r="F102" s="1304"/>
      <c r="G102" s="1304"/>
      <c r="H102" s="1304"/>
      <c r="I102" s="1304"/>
      <c r="J102" s="1304"/>
      <c r="K102" s="1304"/>
      <c r="L102" s="1304"/>
      <c r="M102" s="1304"/>
    </row>
    <row r="103" spans="1:18" x14ac:dyDescent="0.2">
      <c r="A103" s="1315" t="s">
        <v>420</v>
      </c>
      <c r="B103" s="1315"/>
      <c r="C103" s="1315"/>
      <c r="D103" s="1315"/>
      <c r="E103" s="1315"/>
      <c r="F103" s="1315"/>
      <c r="G103" s="1315"/>
      <c r="H103" s="1315"/>
      <c r="I103" s="1315"/>
      <c r="J103" s="1315"/>
      <c r="K103" s="1315"/>
      <c r="L103" s="1315"/>
      <c r="M103" s="1315"/>
    </row>
    <row r="104" spans="1:18" ht="13.5" thickBot="1" x14ac:dyDescent="0.25">
      <c r="A104" s="623">
        <f>SUM(B104:M104)</f>
        <v>100</v>
      </c>
      <c r="B104" s="759">
        <f>B106/$A$106*100</f>
        <v>4.6669207271317648</v>
      </c>
      <c r="C104" s="759">
        <f t="shared" ref="C104:M104" si="26">C106/$A$106*100</f>
        <v>8.8094043788518697</v>
      </c>
      <c r="D104" s="759">
        <f t="shared" si="26"/>
        <v>7.9007211169408471</v>
      </c>
      <c r="E104" s="759">
        <f t="shared" si="26"/>
        <v>9.4959742273216019</v>
      </c>
      <c r="F104" s="759">
        <f t="shared" si="26"/>
        <v>9.6751004622991275</v>
      </c>
      <c r="G104" s="759">
        <f t="shared" si="26"/>
        <v>14.684229737936496</v>
      </c>
      <c r="H104" s="759">
        <f t="shared" si="26"/>
        <v>10.114562962792846</v>
      </c>
      <c r="I104" s="759">
        <f t="shared" si="26"/>
        <v>5.6841532981431167</v>
      </c>
      <c r="J104" s="759">
        <f t="shared" si="26"/>
        <v>6.8182068074146045</v>
      </c>
      <c r="K104" s="759">
        <f t="shared" si="26"/>
        <v>6.8955483625460277</v>
      </c>
      <c r="L104" s="759">
        <f t="shared" si="26"/>
        <v>6.8218054808286199</v>
      </c>
      <c r="M104" s="759">
        <f t="shared" si="26"/>
        <v>8.4333724377930768</v>
      </c>
    </row>
    <row r="105" spans="1:18" ht="13.5" thickBot="1" x14ac:dyDescent="0.25">
      <c r="A105" s="592" t="s">
        <v>326</v>
      </c>
      <c r="B105" s="592" t="s">
        <v>1</v>
      </c>
      <c r="C105" s="592" t="s">
        <v>2</v>
      </c>
      <c r="D105" s="592" t="s">
        <v>3</v>
      </c>
      <c r="E105" s="592" t="s">
        <v>4</v>
      </c>
      <c r="F105" s="592" t="s">
        <v>5</v>
      </c>
      <c r="G105" s="592" t="s">
        <v>6</v>
      </c>
      <c r="H105" s="592" t="s">
        <v>7</v>
      </c>
      <c r="I105" s="592" t="s">
        <v>8</v>
      </c>
      <c r="J105" s="592" t="s">
        <v>9</v>
      </c>
      <c r="K105" s="592" t="s">
        <v>10</v>
      </c>
      <c r="L105" s="592" t="s">
        <v>11</v>
      </c>
      <c r="M105" s="592" t="s">
        <v>12</v>
      </c>
    </row>
    <row r="106" spans="1:18" ht="13.5" thickBot="1" x14ac:dyDescent="0.25">
      <c r="A106" s="594">
        <f>B106+C106+D106+E106+F106+G106+H106+I106+J106+K106+L106+M106</f>
        <v>812077025</v>
      </c>
      <c r="B106" s="848">
        <v>37898991</v>
      </c>
      <c r="C106" s="848">
        <v>71539149</v>
      </c>
      <c r="D106" s="848">
        <v>64159941</v>
      </c>
      <c r="E106" s="848">
        <v>77114625</v>
      </c>
      <c r="F106" s="848">
        <v>78569268</v>
      </c>
      <c r="G106" s="848">
        <v>119247256</v>
      </c>
      <c r="H106" s="848">
        <v>82138042</v>
      </c>
      <c r="I106" s="848">
        <v>46159703</v>
      </c>
      <c r="J106" s="848">
        <v>55369091</v>
      </c>
      <c r="K106" s="848">
        <v>55997164</v>
      </c>
      <c r="L106" s="848">
        <v>55398315</v>
      </c>
      <c r="M106" s="849">
        <v>68485480</v>
      </c>
      <c r="N106" s="627">
        <f>SUM(B106:M106)</f>
        <v>812077025</v>
      </c>
      <c r="P106" s="627">
        <f>N10+N19+N31+N40+N49+N58+N67+N76+N86+N96+N106</f>
        <v>13183536752</v>
      </c>
      <c r="R106" s="500">
        <v>12224425756</v>
      </c>
    </row>
    <row r="107" spans="1:18" ht="13.5" thickBot="1" x14ac:dyDescent="0.25">
      <c r="A107" s="600">
        <v>0.22500000000000001</v>
      </c>
      <c r="B107" s="600">
        <v>0.22500000000000001</v>
      </c>
      <c r="C107" s="600">
        <v>0.22500000000000001</v>
      </c>
      <c r="D107" s="600">
        <v>0.22500000000000001</v>
      </c>
      <c r="E107" s="600">
        <v>0.22500000000000001</v>
      </c>
      <c r="F107" s="600">
        <v>0.22500000000000001</v>
      </c>
      <c r="G107" s="600">
        <v>0.22500000000000001</v>
      </c>
      <c r="H107" s="600">
        <v>0.22500000000000001</v>
      </c>
      <c r="I107" s="600">
        <v>0.22500000000000001</v>
      </c>
      <c r="J107" s="600">
        <v>0.22500000000000001</v>
      </c>
      <c r="K107" s="600">
        <v>0.22500000000000001</v>
      </c>
      <c r="L107" s="600">
        <v>0.22500000000000001</v>
      </c>
      <c r="M107" s="600">
        <v>0.22500000000000001</v>
      </c>
      <c r="N107" s="509"/>
      <c r="R107" s="509">
        <f>R106-P106</f>
        <v>-959110996</v>
      </c>
    </row>
    <row r="108" spans="1:18" ht="13.5" thickBot="1" x14ac:dyDescent="0.25">
      <c r="A108" s="594">
        <f t="shared" ref="A108:M108" si="27">A106*A107</f>
        <v>182717330.625</v>
      </c>
      <c r="B108" s="594">
        <f t="shared" si="27"/>
        <v>8527272.9749999996</v>
      </c>
      <c r="C108" s="594">
        <f t="shared" si="27"/>
        <v>16096308.525</v>
      </c>
      <c r="D108" s="594">
        <f t="shared" si="27"/>
        <v>14435986.725</v>
      </c>
      <c r="E108" s="594">
        <f t="shared" si="27"/>
        <v>17350790.625</v>
      </c>
      <c r="F108" s="594">
        <f t="shared" si="27"/>
        <v>17678085.300000001</v>
      </c>
      <c r="G108" s="594">
        <f t="shared" si="27"/>
        <v>26830632.600000001</v>
      </c>
      <c r="H108" s="594">
        <f t="shared" si="27"/>
        <v>18481059.449999999</v>
      </c>
      <c r="I108" s="594">
        <f t="shared" si="27"/>
        <v>10385933.175000001</v>
      </c>
      <c r="J108" s="594">
        <f t="shared" si="27"/>
        <v>12458045.475</v>
      </c>
      <c r="K108" s="594">
        <f t="shared" si="27"/>
        <v>12599361.9</v>
      </c>
      <c r="L108" s="594">
        <f t="shared" si="27"/>
        <v>12464620.875</v>
      </c>
      <c r="M108" s="758">
        <f t="shared" si="27"/>
        <v>15409233</v>
      </c>
      <c r="N108" s="627">
        <f t="shared" ref="N108" si="28">SUM(B108:M108)</f>
        <v>182717330.625</v>
      </c>
      <c r="P108" s="627">
        <f>N12+N19+N33+N42+N51+N60+N69+N78+N88+N98+N108</f>
        <v>3488856768.375</v>
      </c>
    </row>
    <row r="109" spans="1:18" ht="13.5" thickBot="1" x14ac:dyDescent="0.25">
      <c r="A109" s="606" t="s">
        <v>357</v>
      </c>
    </row>
    <row r="113" spans="1:13" x14ac:dyDescent="0.2">
      <c r="A113" s="509">
        <f>A10+A19+A31+A40+A49+A58+A67+A76+A86+A96+A106</f>
        <v>13183536752</v>
      </c>
      <c r="B113" s="509">
        <f t="shared" ref="B113:M113" si="29">B10+B19+B31+B40+B49+B58+B67+B76+B86+B96+B106</f>
        <v>1031641985</v>
      </c>
      <c r="C113" s="509">
        <f t="shared" si="29"/>
        <v>1298547146</v>
      </c>
      <c r="D113" s="509">
        <f t="shared" si="29"/>
        <v>980824450</v>
      </c>
      <c r="E113" s="509">
        <f t="shared" si="29"/>
        <v>1389289261</v>
      </c>
      <c r="F113" s="509">
        <f t="shared" si="29"/>
        <v>1141253704</v>
      </c>
      <c r="G113" s="509">
        <f t="shared" si="29"/>
        <v>1196703548</v>
      </c>
      <c r="H113" s="509">
        <f t="shared" si="29"/>
        <v>1129214292</v>
      </c>
      <c r="I113" s="509">
        <f t="shared" si="29"/>
        <v>1050149750</v>
      </c>
      <c r="J113" s="509">
        <f t="shared" si="29"/>
        <v>1007772300</v>
      </c>
      <c r="K113" s="509">
        <f t="shared" si="29"/>
        <v>962088505</v>
      </c>
      <c r="L113" s="509">
        <f t="shared" si="29"/>
        <v>991109971</v>
      </c>
      <c r="M113" s="509">
        <f t="shared" si="29"/>
        <v>1004941840</v>
      </c>
    </row>
    <row r="114" spans="1:13" x14ac:dyDescent="0.2">
      <c r="A114" s="509">
        <f>SUM(B113:M113)</f>
        <v>13183536752</v>
      </c>
    </row>
    <row r="116" spans="1:13" x14ac:dyDescent="0.2">
      <c r="A116" s="509">
        <f>A12+A19+A33+A42+A51+A60+A69+A78+A88+A98+A108</f>
        <v>3488856768.375</v>
      </c>
      <c r="B116" s="509">
        <f t="shared" ref="B116:M116" si="30">B12+B19+B33+B42+B51+B60+B69+B78+B88+B98+B108</f>
        <v>270473023.27499998</v>
      </c>
      <c r="C116" s="509">
        <f t="shared" si="30"/>
        <v>344154891.32499999</v>
      </c>
      <c r="D116" s="509">
        <f t="shared" si="30"/>
        <v>259371717.97499996</v>
      </c>
      <c r="E116" s="509">
        <f t="shared" si="30"/>
        <v>368385728.22500002</v>
      </c>
      <c r="F116" s="509">
        <f t="shared" si="30"/>
        <v>303444668.32500005</v>
      </c>
      <c r="G116" s="509">
        <f t="shared" si="30"/>
        <v>316985255.82500011</v>
      </c>
      <c r="H116" s="509">
        <f t="shared" si="30"/>
        <v>296294990.94999999</v>
      </c>
      <c r="I116" s="509">
        <f t="shared" si="30"/>
        <v>280608565.57499999</v>
      </c>
      <c r="J116" s="509">
        <f t="shared" si="30"/>
        <v>267668057.59999996</v>
      </c>
      <c r="K116" s="509">
        <f t="shared" si="30"/>
        <v>251458553.42499998</v>
      </c>
      <c r="L116" s="509">
        <f t="shared" si="30"/>
        <v>262853337.27499998</v>
      </c>
      <c r="M116" s="509">
        <f t="shared" si="30"/>
        <v>267157978.59999996</v>
      </c>
    </row>
    <row r="117" spans="1:13" x14ac:dyDescent="0.2">
      <c r="A117" s="500">
        <v>275915905</v>
      </c>
    </row>
    <row r="118" spans="1:13" x14ac:dyDescent="0.2">
      <c r="A118" s="509">
        <f>A116-A117</f>
        <v>3212940863.375</v>
      </c>
    </row>
    <row r="122" spans="1:13" x14ac:dyDescent="0.2">
      <c r="A122" s="850"/>
    </row>
  </sheetData>
  <mergeCells count="28">
    <mergeCell ref="A8:M8"/>
    <mergeCell ref="A1:M1"/>
    <mergeCell ref="A2:M2"/>
    <mergeCell ref="A3:M3"/>
    <mergeCell ref="A4:M4"/>
    <mergeCell ref="A5:M5"/>
    <mergeCell ref="A63:M63"/>
    <mergeCell ref="A14:M14"/>
    <mergeCell ref="A15:M15"/>
    <mergeCell ref="A26:M26"/>
    <mergeCell ref="A27:M27"/>
    <mergeCell ref="A35:M35"/>
    <mergeCell ref="A36:M36"/>
    <mergeCell ref="A44:M44"/>
    <mergeCell ref="A45:M45"/>
    <mergeCell ref="A53:M53"/>
    <mergeCell ref="A54:M54"/>
    <mergeCell ref="A62:M62"/>
    <mergeCell ref="A92:M92"/>
    <mergeCell ref="A93:M93"/>
    <mergeCell ref="A102:M102"/>
    <mergeCell ref="A103:M103"/>
    <mergeCell ref="A71:M71"/>
    <mergeCell ref="A72:M72"/>
    <mergeCell ref="A80:M80"/>
    <mergeCell ref="A81:M81"/>
    <mergeCell ref="A82:M82"/>
    <mergeCell ref="A83:M83"/>
  </mergeCells>
  <printOptions horizontalCentered="1"/>
  <pageMargins left="0.78740157480314965" right="0.78740157480314965" top="0.98425196850393704" bottom="0.98425196850393704" header="0" footer="0"/>
  <pageSetup paperSize="5"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U87"/>
  <sheetViews>
    <sheetView zoomScale="90" zoomScaleNormal="90" workbookViewId="0">
      <selection sqref="A1:AM1"/>
    </sheetView>
  </sheetViews>
  <sheetFormatPr baseColWidth="10" defaultRowHeight="15" x14ac:dyDescent="0.25"/>
  <cols>
    <col min="1" max="1" width="20.42578125" customWidth="1"/>
    <col min="2" max="2" width="19.7109375" hidden="1" customWidth="1"/>
    <col min="3" max="3" width="15.85546875" hidden="1" customWidth="1"/>
    <col min="4" max="4" width="12.7109375" hidden="1" customWidth="1"/>
    <col min="5" max="7" width="14.85546875" hidden="1" customWidth="1"/>
    <col min="8" max="8" width="18.85546875" style="9" hidden="1" customWidth="1"/>
    <col min="9" max="9" width="18.5703125" hidden="1" customWidth="1"/>
    <col min="10" max="11" width="19.42578125" hidden="1" customWidth="1"/>
    <col min="12" max="12" width="18.42578125" hidden="1" customWidth="1"/>
    <col min="13" max="13" width="15.42578125" hidden="1" customWidth="1"/>
    <col min="14" max="16" width="14.42578125" hidden="1" customWidth="1"/>
    <col min="17" max="17" width="18.85546875" hidden="1" customWidth="1"/>
    <col min="18" max="18" width="19" hidden="1" customWidth="1"/>
    <col min="19" max="19" width="14.7109375" customWidth="1"/>
    <col min="20" max="20" width="14.7109375" bestFit="1" customWidth="1"/>
    <col min="21" max="21" width="13.42578125" customWidth="1"/>
    <col min="22" max="22" width="17.7109375" customWidth="1"/>
    <col min="23" max="23" width="12.140625" customWidth="1"/>
    <col min="24" max="24" width="12.42578125" customWidth="1"/>
    <col min="25" max="27" width="12.85546875" customWidth="1"/>
    <col min="28" max="28" width="13.140625" customWidth="1"/>
    <col min="29" max="29" width="15.28515625" customWidth="1"/>
    <col min="30" max="30" width="13.140625" customWidth="1"/>
    <col min="31" max="31" width="12" customWidth="1"/>
    <col min="32" max="32" width="13.140625" customWidth="1"/>
    <col min="33" max="33" width="13.7109375" customWidth="1"/>
    <col min="34" max="34" width="13.7109375" style="11" customWidth="1"/>
    <col min="35" max="35" width="13.28515625" style="11" customWidth="1"/>
    <col min="36" max="36" width="12" style="11" customWidth="1"/>
    <col min="37" max="37" width="12.7109375" style="11" customWidth="1"/>
    <col min="38" max="38" width="13" customWidth="1"/>
    <col min="39" max="39" width="13.85546875" customWidth="1"/>
    <col min="40" max="41" width="11.42578125" customWidth="1"/>
  </cols>
  <sheetData>
    <row r="1" spans="1:47" ht="18" customHeight="1" x14ac:dyDescent="0.25">
      <c r="A1" s="1031" t="s">
        <v>442</v>
      </c>
      <c r="B1" s="1031"/>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M1" s="1031"/>
    </row>
    <row r="2" spans="1:47" x14ac:dyDescent="0.25">
      <c r="A2" s="829"/>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767"/>
      <c r="AK2" s="767"/>
    </row>
    <row r="3" spans="1:47" ht="15.75" thickBot="1" x14ac:dyDescent="0.3">
      <c r="A3" s="967"/>
      <c r="B3" s="967"/>
      <c r="C3" s="967"/>
      <c r="D3" s="967"/>
      <c r="E3" s="967"/>
      <c r="F3" s="967"/>
      <c r="G3" s="967"/>
      <c r="H3" s="967"/>
      <c r="I3" s="967"/>
      <c r="J3" s="967"/>
      <c r="K3" s="967"/>
      <c r="L3" s="967"/>
      <c r="M3" s="967"/>
      <c r="N3" s="967"/>
      <c r="O3" s="967"/>
      <c r="P3" s="967"/>
      <c r="Q3" s="967"/>
      <c r="R3" s="967"/>
      <c r="S3" s="967"/>
      <c r="T3" s="967"/>
      <c r="U3" s="10"/>
      <c r="V3" s="10"/>
      <c r="AM3" s="961" t="s">
        <v>541</v>
      </c>
    </row>
    <row r="4" spans="1:47" ht="45" customHeight="1" thickBot="1" x14ac:dyDescent="0.3">
      <c r="A4" s="1012" t="s">
        <v>216</v>
      </c>
      <c r="B4" s="813"/>
      <c r="C4" s="813"/>
      <c r="D4" s="813"/>
      <c r="E4" s="813"/>
      <c r="F4" s="813"/>
      <c r="G4" s="813"/>
      <c r="H4" s="813"/>
      <c r="I4" s="814"/>
      <c r="J4" s="815"/>
      <c r="K4" s="815"/>
      <c r="L4" s="815"/>
      <c r="M4" s="815"/>
      <c r="N4" s="815"/>
      <c r="O4" s="815"/>
      <c r="P4" s="815"/>
      <c r="Q4" s="815"/>
      <c r="R4" s="815"/>
      <c r="S4" s="1015" t="s">
        <v>248</v>
      </c>
      <c r="T4" s="1016"/>
      <c r="U4" s="1015" t="s">
        <v>174</v>
      </c>
      <c r="V4" s="1017"/>
      <c r="W4" s="1016"/>
      <c r="X4" s="1015" t="s">
        <v>177</v>
      </c>
      <c r="Y4" s="1018"/>
      <c r="Z4" s="1015" t="s">
        <v>402</v>
      </c>
      <c r="AA4" s="1018"/>
      <c r="AB4" s="1015" t="s">
        <v>276</v>
      </c>
      <c r="AC4" s="1016"/>
      <c r="AD4" s="1015" t="s">
        <v>387</v>
      </c>
      <c r="AE4" s="1016"/>
      <c r="AF4" s="1029" t="s">
        <v>253</v>
      </c>
      <c r="AG4" s="1030"/>
      <c r="AH4" s="1024" t="s">
        <v>252</v>
      </c>
      <c r="AI4" s="1025"/>
      <c r="AJ4" s="1024" t="s">
        <v>361</v>
      </c>
      <c r="AK4" s="1025"/>
      <c r="AL4" s="1024" t="s">
        <v>360</v>
      </c>
      <c r="AM4" s="1025"/>
      <c r="AN4" s="88"/>
      <c r="AO4" s="88"/>
      <c r="AP4" s="88"/>
      <c r="AQ4" s="88"/>
      <c r="AR4" s="88"/>
      <c r="AS4" s="88"/>
      <c r="AT4" s="88"/>
      <c r="AU4" s="125"/>
    </row>
    <row r="5" spans="1:47" ht="15.75" customHeight="1" x14ac:dyDescent="0.25">
      <c r="A5" s="1013"/>
      <c r="B5" s="994" t="s">
        <v>14</v>
      </c>
      <c r="C5" s="816"/>
      <c r="D5" s="817"/>
      <c r="E5" s="1033" t="s">
        <v>15</v>
      </c>
      <c r="F5" s="1033"/>
      <c r="G5" s="1033"/>
      <c r="H5" s="1033"/>
      <c r="I5" s="994" t="s">
        <v>16</v>
      </c>
      <c r="J5" s="994"/>
      <c r="K5" s="994"/>
      <c r="L5" s="994"/>
      <c r="M5" s="994" t="s">
        <v>17</v>
      </c>
      <c r="N5" s="994" t="s">
        <v>18</v>
      </c>
      <c r="O5" s="994"/>
      <c r="P5" s="994"/>
      <c r="Q5" s="994"/>
      <c r="R5" s="992"/>
      <c r="S5" s="1007" t="s">
        <v>249</v>
      </c>
      <c r="T5" s="1019" t="s">
        <v>250</v>
      </c>
      <c r="U5" s="1007" t="s">
        <v>249</v>
      </c>
      <c r="V5" s="1021" t="s">
        <v>251</v>
      </c>
      <c r="W5" s="1010" t="s">
        <v>250</v>
      </c>
      <c r="X5" s="1007" t="s">
        <v>249</v>
      </c>
      <c r="Y5" s="1010" t="s">
        <v>250</v>
      </c>
      <c r="Z5" s="1007" t="s">
        <v>249</v>
      </c>
      <c r="AA5" s="1010" t="s">
        <v>250</v>
      </c>
      <c r="AB5" s="1007" t="s">
        <v>249</v>
      </c>
      <c r="AC5" s="1010" t="s">
        <v>250</v>
      </c>
      <c r="AD5" s="1007" t="s">
        <v>249</v>
      </c>
      <c r="AE5" s="1010" t="s">
        <v>250</v>
      </c>
      <c r="AF5" s="1026" t="s">
        <v>249</v>
      </c>
      <c r="AG5" s="1010" t="s">
        <v>250</v>
      </c>
      <c r="AH5" s="1007" t="s">
        <v>249</v>
      </c>
      <c r="AI5" s="1010" t="s">
        <v>250</v>
      </c>
      <c r="AJ5" s="1007" t="s">
        <v>249</v>
      </c>
      <c r="AK5" s="1010" t="s">
        <v>250</v>
      </c>
      <c r="AL5" s="1007" t="s">
        <v>249</v>
      </c>
      <c r="AM5" s="1010" t="s">
        <v>250</v>
      </c>
    </row>
    <row r="6" spans="1:47" ht="15.75" customHeight="1" x14ac:dyDescent="0.25">
      <c r="A6" s="1013"/>
      <c r="B6" s="1032"/>
      <c r="C6" s="818" t="s">
        <v>20</v>
      </c>
      <c r="D6" s="1035" t="s">
        <v>21</v>
      </c>
      <c r="E6" s="1035"/>
      <c r="F6" s="818" t="s">
        <v>22</v>
      </c>
      <c r="G6" s="818" t="s">
        <v>23</v>
      </c>
      <c r="H6" s="818" t="s">
        <v>24</v>
      </c>
      <c r="I6" s="1036" t="s">
        <v>25</v>
      </c>
      <c r="J6" s="994" t="s">
        <v>26</v>
      </c>
      <c r="K6" s="818" t="s">
        <v>23</v>
      </c>
      <c r="L6" s="994" t="s">
        <v>27</v>
      </c>
      <c r="M6" s="1032"/>
      <c r="N6" s="1036" t="s">
        <v>28</v>
      </c>
      <c r="O6" s="819"/>
      <c r="P6" s="819"/>
      <c r="Q6" s="818" t="s">
        <v>22</v>
      </c>
      <c r="R6" s="820" t="s">
        <v>29</v>
      </c>
      <c r="S6" s="1008"/>
      <c r="T6" s="1020"/>
      <c r="U6" s="1008"/>
      <c r="V6" s="1022"/>
      <c r="W6" s="1011"/>
      <c r="X6" s="1008"/>
      <c r="Y6" s="1011"/>
      <c r="Z6" s="1008"/>
      <c r="AA6" s="1011"/>
      <c r="AB6" s="1008"/>
      <c r="AC6" s="1011"/>
      <c r="AD6" s="1008"/>
      <c r="AE6" s="1011"/>
      <c r="AF6" s="1027"/>
      <c r="AG6" s="1011"/>
      <c r="AH6" s="1008"/>
      <c r="AI6" s="1011"/>
      <c r="AJ6" s="1008"/>
      <c r="AK6" s="1011"/>
      <c r="AL6" s="1008"/>
      <c r="AM6" s="1011"/>
    </row>
    <row r="7" spans="1:47" ht="15.75" customHeight="1" x14ac:dyDescent="0.25">
      <c r="A7" s="1013"/>
      <c r="B7" s="1032"/>
      <c r="C7" s="818" t="s">
        <v>30</v>
      </c>
      <c r="D7" s="1035">
        <v>2010</v>
      </c>
      <c r="E7" s="1035"/>
      <c r="F7" s="818" t="s">
        <v>31</v>
      </c>
      <c r="G7" s="818" t="s">
        <v>32</v>
      </c>
      <c r="H7" s="818" t="s">
        <v>33</v>
      </c>
      <c r="I7" s="1036"/>
      <c r="J7" s="994"/>
      <c r="K7" s="818" t="s">
        <v>32</v>
      </c>
      <c r="L7" s="994"/>
      <c r="M7" s="1032"/>
      <c r="N7" s="1037"/>
      <c r="O7" s="821"/>
      <c r="P7" s="821"/>
      <c r="Q7" s="818" t="s">
        <v>34</v>
      </c>
      <c r="R7" s="820" t="s">
        <v>35</v>
      </c>
      <c r="S7" s="1008"/>
      <c r="T7" s="1020"/>
      <c r="U7" s="1008"/>
      <c r="V7" s="1022"/>
      <c r="W7" s="1011"/>
      <c r="X7" s="1008"/>
      <c r="Y7" s="1011"/>
      <c r="Z7" s="1008"/>
      <c r="AA7" s="1011"/>
      <c r="AB7" s="1008"/>
      <c r="AC7" s="1011"/>
      <c r="AD7" s="1008"/>
      <c r="AE7" s="1011"/>
      <c r="AF7" s="1027"/>
      <c r="AG7" s="1011"/>
      <c r="AH7" s="1008"/>
      <c r="AI7" s="1011"/>
      <c r="AJ7" s="1008"/>
      <c r="AK7" s="1011"/>
      <c r="AL7" s="1008"/>
      <c r="AM7" s="1011"/>
    </row>
    <row r="8" spans="1:47" ht="15.75" customHeight="1" thickBot="1" x14ac:dyDescent="0.3">
      <c r="A8" s="1014"/>
      <c r="B8" s="822">
        <v>2014</v>
      </c>
      <c r="C8" s="822" t="s">
        <v>36</v>
      </c>
      <c r="D8" s="823" t="s">
        <v>37</v>
      </c>
      <c r="E8" s="823" t="s">
        <v>38</v>
      </c>
      <c r="F8" s="823" t="s">
        <v>39</v>
      </c>
      <c r="G8" s="824">
        <v>0.6</v>
      </c>
      <c r="H8" s="824">
        <v>0.6</v>
      </c>
      <c r="I8" s="823" t="s">
        <v>40</v>
      </c>
      <c r="J8" s="823"/>
      <c r="K8" s="824">
        <v>0.3</v>
      </c>
      <c r="L8" s="823" t="s">
        <v>41</v>
      </c>
      <c r="M8" s="1034"/>
      <c r="N8" s="1038"/>
      <c r="O8" s="825"/>
      <c r="P8" s="825"/>
      <c r="Q8" s="823" t="s">
        <v>42</v>
      </c>
      <c r="R8" s="826" t="s">
        <v>43</v>
      </c>
      <c r="S8" s="1009"/>
      <c r="T8" s="827" t="s">
        <v>44</v>
      </c>
      <c r="U8" s="1009"/>
      <c r="V8" s="1023"/>
      <c r="W8" s="784" t="s">
        <v>44</v>
      </c>
      <c r="X8" s="1009"/>
      <c r="Y8" s="784" t="s">
        <v>44</v>
      </c>
      <c r="Z8" s="1009"/>
      <c r="AA8" s="784" t="s">
        <v>44</v>
      </c>
      <c r="AB8" s="1009"/>
      <c r="AC8" s="784" t="s">
        <v>44</v>
      </c>
      <c r="AD8" s="1009"/>
      <c r="AE8" s="784" t="s">
        <v>44</v>
      </c>
      <c r="AF8" s="1028"/>
      <c r="AG8" s="785" t="s">
        <v>44</v>
      </c>
      <c r="AH8" s="1009"/>
      <c r="AI8" s="784" t="s">
        <v>44</v>
      </c>
      <c r="AJ8" s="1009"/>
      <c r="AK8" s="784" t="s">
        <v>44</v>
      </c>
      <c r="AL8" s="1009"/>
      <c r="AM8" s="784" t="s">
        <v>44</v>
      </c>
    </row>
    <row r="9" spans="1:47" ht="27" customHeight="1" x14ac:dyDescent="0.25">
      <c r="A9" s="15" t="s">
        <v>45</v>
      </c>
      <c r="B9" s="16">
        <v>3.62</v>
      </c>
      <c r="C9" s="17">
        <f>[1]Datos!I$13*B9%</f>
        <v>35350314.182820007</v>
      </c>
      <c r="D9" s="18">
        <f>E9/E$29*100</f>
        <v>3.3707564846877225</v>
      </c>
      <c r="E9" s="19">
        <v>36572</v>
      </c>
      <c r="F9" s="20">
        <f>D9</f>
        <v>3.3707564846877225</v>
      </c>
      <c r="G9" s="20">
        <f>F9*0.6</f>
        <v>2.0224538908126335</v>
      </c>
      <c r="H9" s="21">
        <f>[1]Datos!$K$18*'CUADRO 5- Consolidado'!G9/100</f>
        <v>5653240.9108052226</v>
      </c>
      <c r="I9" s="18">
        <v>1.210777</v>
      </c>
      <c r="J9" s="18">
        <f>I9/$I$29*100</f>
        <v>5.6616379474610792</v>
      </c>
      <c r="K9" s="18">
        <f>J9*0.3</f>
        <v>1.6984913842383238</v>
      </c>
      <c r="L9" s="19">
        <f>[1]Datos!$K$18*'CUADRO 5- Consolidado'!K9/100</f>
        <v>4747688.4509679256</v>
      </c>
      <c r="M9" s="22">
        <f>H9+L9</f>
        <v>10400929.361773148</v>
      </c>
      <c r="N9" s="18">
        <f>K9+G9</f>
        <v>3.7209452750509575</v>
      </c>
      <c r="O9" s="18">
        <f>1/N9</f>
        <v>0.26874891353684455</v>
      </c>
      <c r="P9" s="18">
        <f>O9/$O$29*100</f>
        <v>4.2169783378374488</v>
      </c>
      <c r="Q9" s="18">
        <f>P9*0.1</f>
        <v>0.42169783378374492</v>
      </c>
      <c r="R9" s="23">
        <f>Q9*[1]Datos!$K$18/100</f>
        <v>1178746.0059157736</v>
      </c>
      <c r="S9" s="786">
        <f>'CUADRO 6 -FGP'!U8</f>
        <v>3.5382379979592633</v>
      </c>
      <c r="T9" s="787">
        <f>'CUADRO 6 -FGP'!T8</f>
        <v>78775108.911518723</v>
      </c>
      <c r="U9" s="788">
        <f>'CUADRO 7 FFM'!S8</f>
        <v>2.0783859001765843</v>
      </c>
      <c r="V9" s="789">
        <f>'CUADRO 7 FFM'!N8</f>
        <v>0</v>
      </c>
      <c r="W9" s="790">
        <f>'CUADRO 7 FFM'!Q8</f>
        <v>19212007.751974832</v>
      </c>
      <c r="X9" s="791">
        <f>'CUADRO10 -FOFIR'!I8</f>
        <v>0.18069436310796558</v>
      </c>
      <c r="Y9" s="790">
        <f>'CUADRO10 -FOFIR'!K8</f>
        <v>1716652.4438995279</v>
      </c>
      <c r="Z9" s="940">
        <f>' CUADRO 11- FOCO'!D9+' CUADRO 11- FOCO'!G9</f>
        <v>3.1012197296055257</v>
      </c>
      <c r="AA9" s="941">
        <f>' CUADRO 11- FOCO'!J9</f>
        <v>2134143.6734164697</v>
      </c>
      <c r="AB9" s="791">
        <f>'CUADRO 8- IEPS TyA'!E8</f>
        <v>0.05</v>
      </c>
      <c r="AC9" s="790">
        <f>'CUADRO 8- IEPS TyA'!G8</f>
        <v>2446983.9337500003</v>
      </c>
      <c r="AD9" s="791">
        <f>'CUADRO 9 IEPS GyD '!D8</f>
        <v>3.0136241193535018</v>
      </c>
      <c r="AE9" s="790">
        <f>'CUADRO 9 IEPS GyD '!E8</f>
        <v>2362545.8087452734</v>
      </c>
      <c r="AF9" s="792">
        <f>'CUADRO 6 -FGP'!F8+'CUADRO 6 -FGP'!L8+'CUADRO 6 -FGP'!R8</f>
        <v>3.5382379979592629</v>
      </c>
      <c r="AG9" s="793">
        <f>'CUADRO 13- Incentivo ISAN'!I7</f>
        <v>578266.49953938322</v>
      </c>
      <c r="AH9" s="794">
        <f>'CUADRO 6 -FGP'!F8+'CUADRO 6 -FGP'!L8+'CUADRO 6 -FGP'!R8</f>
        <v>3.5382379979592629</v>
      </c>
      <c r="AI9" s="795">
        <f>'CUADRO 12- FOCO ISAN'!I7</f>
        <v>115341.17795803658</v>
      </c>
      <c r="AJ9" s="796">
        <f>ISR!S4</f>
        <v>9.4060000000000005E-2</v>
      </c>
      <c r="AK9" s="797">
        <f>'CUADRO 21- ISR 2026'!O4</f>
        <v>1153388.2176440442</v>
      </c>
      <c r="AL9" s="794">
        <f>'CUADRO 14 ISR Enaje'!T8</f>
        <v>3.5382379979592629</v>
      </c>
      <c r="AM9" s="795">
        <f>'CUADRO 14 ISR Enaje'!S8</f>
        <v>1415295.1991837053</v>
      </c>
      <c r="AN9" s="24"/>
    </row>
    <row r="10" spans="1:47" ht="27" customHeight="1" x14ac:dyDescent="0.25">
      <c r="A10" s="25" t="s">
        <v>46</v>
      </c>
      <c r="B10" s="26">
        <v>2.4700000000000002</v>
      </c>
      <c r="C10" s="27">
        <f>[1]Datos!I$13*B10%</f>
        <v>24120241.997670002</v>
      </c>
      <c r="D10" s="28">
        <f t="shared" ref="D10:D28" si="0">E10/E$29*100</f>
        <v>1.4036216369164749</v>
      </c>
      <c r="E10" s="29">
        <v>15229</v>
      </c>
      <c r="F10" s="30">
        <f t="shared" ref="F10:F29" si="1">D10</f>
        <v>1.4036216369164749</v>
      </c>
      <c r="G10" s="30">
        <f t="shared" ref="G10:G28" si="2">F10*0.6</f>
        <v>0.8421729821498849</v>
      </c>
      <c r="H10" s="31">
        <f>[1]Datos!$K$18*'CUADRO 5- Consolidado'!G10/100</f>
        <v>2354074.314520746</v>
      </c>
      <c r="I10" s="28">
        <v>1.1581699999999999</v>
      </c>
      <c r="J10" s="28">
        <f t="shared" ref="J10:J28" si="3">I10/$I$29*100</f>
        <v>5.4156456734898315</v>
      </c>
      <c r="K10" s="28">
        <f t="shared" ref="K10:K28" si="4">J10*0.3</f>
        <v>1.6246937020469494</v>
      </c>
      <c r="L10" s="32">
        <f>[1]Datos!$K$18*'CUADRO 5- Consolidado'!K10/100</f>
        <v>4541406.3310234025</v>
      </c>
      <c r="M10" s="33">
        <f t="shared" ref="M10:M29" si="5">H10+L10</f>
        <v>6895480.645544149</v>
      </c>
      <c r="N10" s="28">
        <f t="shared" ref="N10:N28" si="6">K10+G10</f>
        <v>2.4668666841968343</v>
      </c>
      <c r="O10" s="28">
        <f t="shared" ref="O10:O28" si="7">1/N10</f>
        <v>0.40537253448115756</v>
      </c>
      <c r="P10" s="28">
        <f t="shared" ref="P10:P28" si="8">O10/$O$29*100</f>
        <v>6.3607594693659895</v>
      </c>
      <c r="Q10" s="28">
        <f t="shared" ref="Q10:Q28" si="9">P10*0.1</f>
        <v>0.63607594693659897</v>
      </c>
      <c r="R10" s="34">
        <f>Q10*[1]Datos!$K$18/100</f>
        <v>1777983.9540155372</v>
      </c>
      <c r="S10" s="786">
        <f>'CUADRO 6 -FGP'!U9</f>
        <v>2.8741138571776528</v>
      </c>
      <c r="T10" s="787">
        <f>'CUADRO 6 -FGP'!T9</f>
        <v>59394241.187897757</v>
      </c>
      <c r="U10" s="788">
        <f>'CUADRO 7 FFM'!S9</f>
        <v>1.0014020675550266</v>
      </c>
      <c r="V10" s="789">
        <f>'CUADRO 7 FFM'!N9</f>
        <v>0</v>
      </c>
      <c r="W10" s="790">
        <f>'CUADRO 7 FFM'!Q9</f>
        <v>12395662.753595026</v>
      </c>
      <c r="X10" s="791">
        <f>'CUADRO10 -FOFIR'!I9</f>
        <v>4.9461692707590682E-2</v>
      </c>
      <c r="Y10" s="790">
        <f>'CUADRO10 -FOFIR'!K9</f>
        <v>686279.40414970764</v>
      </c>
      <c r="Z10" s="940">
        <f>' CUADRO 11- FOCO'!D10+' CUADRO 11- FOCO'!G10</f>
        <v>3.2708002668738683</v>
      </c>
      <c r="AA10" s="943">
        <f>' CUADRO 11- FOCO'!J10</f>
        <v>2250842.6700373362</v>
      </c>
      <c r="AB10" s="791">
        <f>'CUADRO 8- IEPS TyA'!E9</f>
        <v>0.05</v>
      </c>
      <c r="AC10" s="790">
        <f>'CUADRO 8- IEPS TyA'!G9</f>
        <v>2826207.9337500003</v>
      </c>
      <c r="AD10" s="791">
        <f>'CUADRO 9 IEPS GyD '!D9</f>
        <v>1.2459367229589724</v>
      </c>
      <c r="AE10" s="790">
        <f>'CUADRO 9 IEPS GyD '!E9</f>
        <v>976758.37005844433</v>
      </c>
      <c r="AF10" s="798">
        <f>'CUADRO 6 -FGP'!F9+'CUADRO 6 -FGP'!L9+'CUADRO 6 -FGP'!R9</f>
        <v>2.8741138571776528</v>
      </c>
      <c r="AG10" s="793">
        <f>'CUADRO 13- Incentivo ISAN'!I8</f>
        <v>469726.38935717271</v>
      </c>
      <c r="AH10" s="794">
        <f>'CUADRO 6 -FGP'!F9+'CUADRO 6 -FGP'!L9+'CUADRO 6 -FGP'!R9</f>
        <v>2.8741138571776528</v>
      </c>
      <c r="AI10" s="795">
        <f>'CUADRO 12- FOCO ISAN'!I8</f>
        <v>93691.740935343187</v>
      </c>
      <c r="AJ10" s="796">
        <f>ISR!S5</f>
        <v>2.3797139999999999</v>
      </c>
      <c r="AK10" s="799">
        <f>'CUADRO 21- ISR 2026'!O5</f>
        <v>6104424.4040300027</v>
      </c>
      <c r="AL10" s="794">
        <f>'CUADRO 14 ISR Enaje'!T9</f>
        <v>2.8741138571776528</v>
      </c>
      <c r="AM10" s="795">
        <f>'CUADRO 14 ISR Enaje'!S9</f>
        <v>1149645.5428710612</v>
      </c>
      <c r="AN10" s="24"/>
    </row>
    <row r="11" spans="1:47" ht="27" customHeight="1" x14ac:dyDescent="0.25">
      <c r="A11" s="25" t="s">
        <v>47</v>
      </c>
      <c r="B11" s="26">
        <v>2.33</v>
      </c>
      <c r="C11" s="27">
        <f>[1]Datos!I$13*B11%</f>
        <v>22753102.77513</v>
      </c>
      <c r="D11" s="28">
        <f t="shared" si="0"/>
        <v>1.0311720319010782</v>
      </c>
      <c r="E11" s="32">
        <v>11188</v>
      </c>
      <c r="F11" s="30">
        <f t="shared" si="1"/>
        <v>1.0311720319010782</v>
      </c>
      <c r="G11" s="30">
        <f t="shared" si="2"/>
        <v>0.61870321914064685</v>
      </c>
      <c r="H11" s="31">
        <f>[1]Datos!$K$18*'CUADRO 5- Consolidado'!G11/100</f>
        <v>1729423.0370252877</v>
      </c>
      <c r="I11" s="28">
        <v>1.096811</v>
      </c>
      <c r="J11" s="28">
        <f t="shared" si="3"/>
        <v>5.1287287244411921</v>
      </c>
      <c r="K11" s="28">
        <f t="shared" si="4"/>
        <v>1.5386186173323575</v>
      </c>
      <c r="L11" s="32">
        <f>[1]Datos!$K$18*'CUADRO 5- Consolidado'!K11/100</f>
        <v>4300805.943286485</v>
      </c>
      <c r="M11" s="33">
        <f t="shared" si="5"/>
        <v>6030228.9803117728</v>
      </c>
      <c r="N11" s="28">
        <f t="shared" si="6"/>
        <v>2.1573218364730042</v>
      </c>
      <c r="O11" s="28">
        <f t="shared" si="7"/>
        <v>0.46353769896238362</v>
      </c>
      <c r="P11" s="28">
        <f t="shared" si="8"/>
        <v>7.2734375353201246</v>
      </c>
      <c r="Q11" s="28">
        <f t="shared" si="9"/>
        <v>0.72734375353201253</v>
      </c>
      <c r="R11" s="34">
        <f>Q11*[1]Datos!$K$18/100</f>
        <v>2033099.2376956686</v>
      </c>
      <c r="S11" s="786">
        <f>'CUADRO 6 -FGP'!U10</f>
        <v>2.6500476658644221</v>
      </c>
      <c r="T11" s="787">
        <f>'CUADRO 6 -FGP'!T10</f>
        <v>55277137.613318592</v>
      </c>
      <c r="U11" s="788">
        <f>'CUADRO 7 FFM'!S10</f>
        <v>0.63899783463121829</v>
      </c>
      <c r="V11" s="789">
        <f>'CUADRO 7 FFM'!N10</f>
        <v>0</v>
      </c>
      <c r="W11" s="790">
        <f>'CUADRO 7 FFM'!Q10</f>
        <v>11170065.6116473</v>
      </c>
      <c r="X11" s="791">
        <f>'CUADRO10 -FOFIR'!I10</f>
        <v>1.6859970895997552E-2</v>
      </c>
      <c r="Y11" s="790">
        <f>'CUADRO10 -FOFIR'!K10</f>
        <v>490520.58481554425</v>
      </c>
      <c r="Z11" s="940">
        <f>' CUADRO 11- FOCO'!D11+' CUADRO 11- FOCO'!G11</f>
        <v>3.8542395726001253</v>
      </c>
      <c r="AA11" s="943">
        <f>' CUADRO 11- FOCO'!J11</f>
        <v>2652343.8249705182</v>
      </c>
      <c r="AB11" s="791">
        <f>'CUADRO 8- IEPS TyA'!E10</f>
        <v>0.05</v>
      </c>
      <c r="AC11" s="790">
        <f>'CUADRO 8- IEPS TyA'!G10</f>
        <v>2896281.9337500003</v>
      </c>
      <c r="AD11" s="791">
        <f>'CUADRO 9 IEPS GyD '!D10</f>
        <v>0.93374430169912959</v>
      </c>
      <c r="AE11" s="790">
        <f>'CUADRO 9 IEPS GyD '!E10</f>
        <v>732013.54882051644</v>
      </c>
      <c r="AF11" s="798">
        <f>'CUADRO 6 -FGP'!F10+'CUADRO 6 -FGP'!L10+'CUADRO 6 -FGP'!R10</f>
        <v>2.6500476658644221</v>
      </c>
      <c r="AG11" s="793">
        <f>'CUADRO 13- Incentivo ISAN'!I9</f>
        <v>433106.47509743233</v>
      </c>
      <c r="AH11" s="794">
        <f>'CUADRO 6 -FGP'!F10+'CUADRO 6 -FGP'!L10+'CUADRO 6 -FGP'!R10</f>
        <v>2.6500476658644221</v>
      </c>
      <c r="AI11" s="795">
        <f>'CUADRO 12- FOCO ISAN'!I9</f>
        <v>86387.523847192308</v>
      </c>
      <c r="AJ11" s="796">
        <f>ISR!S6</f>
        <v>1.5957730000000001</v>
      </c>
      <c r="AK11" s="799">
        <f>'CUADRO 21- ISR 2026'!O6</f>
        <v>4619320.5415499266</v>
      </c>
      <c r="AL11" s="794">
        <f>'CUADRO 14 ISR Enaje'!T10</f>
        <v>2.6500476658644221</v>
      </c>
      <c r="AM11" s="795">
        <f>'CUADRO 14 ISR Enaje'!S10</f>
        <v>1060019.066345769</v>
      </c>
      <c r="AN11" s="24"/>
    </row>
    <row r="12" spans="1:47" ht="27" customHeight="1" x14ac:dyDescent="0.25">
      <c r="A12" s="25" t="s">
        <v>48</v>
      </c>
      <c r="B12" s="26">
        <v>2.81</v>
      </c>
      <c r="C12" s="27">
        <f>[1]Datos!I$13*B12%</f>
        <v>27440437.252410002</v>
      </c>
      <c r="D12" s="28">
        <f t="shared" si="0"/>
        <v>11.447687005923617</v>
      </c>
      <c r="E12" s="32">
        <v>124205</v>
      </c>
      <c r="F12" s="30">
        <f t="shared" si="1"/>
        <v>11.447687005923617</v>
      </c>
      <c r="G12" s="30">
        <f t="shared" si="2"/>
        <v>6.8686122035541706</v>
      </c>
      <c r="H12" s="31">
        <f>[1]Datos!$K$18*'CUADRO 5- Consolidado'!G12/100</f>
        <v>19199409.037694484</v>
      </c>
      <c r="I12" s="28">
        <v>0.95977000000000001</v>
      </c>
      <c r="J12" s="28">
        <f t="shared" si="3"/>
        <v>4.4879199496147679</v>
      </c>
      <c r="K12" s="28">
        <f t="shared" si="4"/>
        <v>1.3463759848844303</v>
      </c>
      <c r="L12" s="32">
        <f>[1]Datos!$K$18*'CUADRO 5- Consolidado'!K12/100</f>
        <v>3763441.9423110001</v>
      </c>
      <c r="M12" s="33">
        <f t="shared" si="5"/>
        <v>22962850.980005484</v>
      </c>
      <c r="N12" s="28">
        <f t="shared" si="6"/>
        <v>8.2149881884386016</v>
      </c>
      <c r="O12" s="28">
        <f t="shared" si="7"/>
        <v>0.12172872036594699</v>
      </c>
      <c r="P12" s="28">
        <f t="shared" si="8"/>
        <v>1.9100630775405734</v>
      </c>
      <c r="Q12" s="28">
        <f t="shared" si="9"/>
        <v>0.19100630775405736</v>
      </c>
      <c r="R12" s="34">
        <f>Q12*[1]Datos!$K$18/100</f>
        <v>533908.17863502365</v>
      </c>
      <c r="S12" s="786">
        <f>'CUADRO 6 -FGP'!U11</f>
        <v>10.821341685981746</v>
      </c>
      <c r="T12" s="787">
        <f>'CUADRO 6 -FGP'!T11</f>
        <v>160250763.09083545</v>
      </c>
      <c r="U12" s="788">
        <f>'CUADRO 7 FFM'!S11</f>
        <v>29.236073976035861</v>
      </c>
      <c r="V12" s="789">
        <f>'CUADRO 7 FFM'!N11</f>
        <v>0</v>
      </c>
      <c r="W12" s="790">
        <f>'CUADRO 7 FFM'!Q11</f>
        <v>62180312.899374694</v>
      </c>
      <c r="X12" s="791">
        <f>'CUADRO10 -FOFIR'!I11</f>
        <v>34.48014117793474</v>
      </c>
      <c r="Y12" s="790">
        <f>'CUADRO10 -FOFIR'!K11</f>
        <v>24448652.919476241</v>
      </c>
      <c r="Z12" s="940">
        <f>' CUADRO 11- FOCO'!D12+' CUADRO 11- FOCO'!G12</f>
        <v>10.827867411712226</v>
      </c>
      <c r="AA12" s="943">
        <f>' CUADRO 11- FOCO'!J12</f>
        <v>7451334.2323658466</v>
      </c>
      <c r="AB12" s="791">
        <f>'CUADRO 8- IEPS TyA'!E11</f>
        <v>0.05</v>
      </c>
      <c r="AC12" s="790">
        <f>'CUADRO 8- IEPS TyA'!G11</f>
        <v>2681937.9337500003</v>
      </c>
      <c r="AD12" s="791">
        <f>'CUADRO 9 IEPS GyD '!D11</f>
        <v>15.187266887691669</v>
      </c>
      <c r="AE12" s="790">
        <f>'CUADRO 9 IEPS GyD '!E11</f>
        <v>11906134.378666015</v>
      </c>
      <c r="AF12" s="798">
        <f>'CUADRO 6 -FGP'!F11+'CUADRO 6 -FGP'!L11+'CUADRO 6 -FGP'!R11</f>
        <v>10.821341685981746</v>
      </c>
      <c r="AG12" s="793">
        <f>'CUADRO 13- Incentivo ISAN'!I10</f>
        <v>1768569.37851028</v>
      </c>
      <c r="AH12" s="794">
        <f>'CUADRO 6 -FGP'!F11+'CUADRO 6 -FGP'!L11+'CUADRO 6 -FGP'!R11</f>
        <v>10.821341685981746</v>
      </c>
      <c r="AI12" s="795">
        <f>'CUADRO 12- FOCO ISAN'!I10</f>
        <v>352759.282407636</v>
      </c>
      <c r="AJ12" s="796">
        <f>ISR!S7</f>
        <v>29.196318999999999</v>
      </c>
      <c r="AK12" s="799">
        <f>'CUADRO 21- ISR 2026'!O7</f>
        <v>66276541.352841787</v>
      </c>
      <c r="AL12" s="794">
        <f>'CUADRO 14 ISR Enaje'!T11</f>
        <v>10.821341685981746</v>
      </c>
      <c r="AM12" s="795">
        <f>'CUADRO 14 ISR Enaje'!S11</f>
        <v>4328536.6743926993</v>
      </c>
      <c r="AN12" s="24"/>
    </row>
    <row r="13" spans="1:47" ht="27" customHeight="1" x14ac:dyDescent="0.25">
      <c r="A13" s="25" t="s">
        <v>49</v>
      </c>
      <c r="B13" s="26">
        <v>4.6399999999999997</v>
      </c>
      <c r="C13" s="27">
        <f>[1]Datos!I$13*B13%</f>
        <v>45310899.947039999</v>
      </c>
      <c r="D13" s="28">
        <f t="shared" si="0"/>
        <v>6.4885126808905982</v>
      </c>
      <c r="E13" s="32">
        <v>70399</v>
      </c>
      <c r="F13" s="30">
        <f t="shared" si="1"/>
        <v>6.4885126808905982</v>
      </c>
      <c r="G13" s="30">
        <f t="shared" si="2"/>
        <v>3.8931076085343586</v>
      </c>
      <c r="H13" s="31">
        <f>[1]Datos!$K$18*'CUADRO 5- Consolidado'!G13/100</f>
        <v>10882164.138679232</v>
      </c>
      <c r="I13" s="28">
        <v>0.95178300000000005</v>
      </c>
      <c r="J13" s="28">
        <f t="shared" si="3"/>
        <v>4.4505724427771165</v>
      </c>
      <c r="K13" s="28">
        <f t="shared" si="4"/>
        <v>1.3351717328331349</v>
      </c>
      <c r="L13" s="32">
        <f>[1]Datos!$K$18*'CUADRO 5- Consolidado'!K13/100</f>
        <v>3732123.3859972609</v>
      </c>
      <c r="M13" s="33">
        <f t="shared" si="5"/>
        <v>14614287.524676494</v>
      </c>
      <c r="N13" s="28">
        <f t="shared" si="6"/>
        <v>5.2282793413674931</v>
      </c>
      <c r="O13" s="28">
        <f t="shared" si="7"/>
        <v>0.19126751550701249</v>
      </c>
      <c r="P13" s="28">
        <f t="shared" si="8"/>
        <v>3.001206438419636</v>
      </c>
      <c r="Q13" s="28">
        <f t="shared" si="9"/>
        <v>0.30012064384196363</v>
      </c>
      <c r="R13" s="34">
        <f>Q13*[1]Datos!$K$18/100</f>
        <v>838908.76803271263</v>
      </c>
      <c r="S13" s="786">
        <f>'CUADRO 6 -FGP'!U12</f>
        <v>5.6495036228011593</v>
      </c>
      <c r="T13" s="787">
        <f>'CUADRO 6 -FGP'!T12</f>
        <v>114647257.55799702</v>
      </c>
      <c r="U13" s="788">
        <f>'CUADRO 7 FFM'!S12</f>
        <v>7.0671708021849682</v>
      </c>
      <c r="V13" s="789">
        <f>'CUADRO 7 FFM'!N12</f>
        <v>0</v>
      </c>
      <c r="W13" s="790">
        <f>'CUADRO 7 FFM'!Q12</f>
        <v>32159882.21968513</v>
      </c>
      <c r="X13" s="791">
        <f>'CUADRO10 -FOFIR'!I12</f>
        <v>2.5861413429303477</v>
      </c>
      <c r="Y13" s="790">
        <f>'CUADRO10 -FOFIR'!K12</f>
        <v>4464613.3887987034</v>
      </c>
      <c r="Z13" s="940">
        <f>' CUADRO 11- FOCO'!D13+' CUADRO 11- FOCO'!G13</f>
        <v>4.8642760218984451</v>
      </c>
      <c r="AA13" s="943">
        <f>' CUADRO 11- FOCO'!J13</f>
        <v>3347413.2125447523</v>
      </c>
      <c r="AB13" s="791">
        <f>'CUADRO 8- IEPS TyA'!E12</f>
        <v>0.05</v>
      </c>
      <c r="AC13" s="790">
        <f>'CUADRO 8- IEPS TyA'!G12</f>
        <v>2267676.9337500003</v>
      </c>
      <c r="AD13" s="791">
        <f>'CUADRO 9 IEPS GyD '!D12</f>
        <v>6.2678071902196431</v>
      </c>
      <c r="AE13" s="790">
        <f>'CUADRO 9 IEPS GyD '!E12</f>
        <v>4913679.0192844588</v>
      </c>
      <c r="AF13" s="798">
        <f>'CUADRO 6 -FGP'!F12+'CUADRO 6 -FGP'!L12+'CUADRO 6 -FGP'!R12</f>
        <v>5.6495036228011593</v>
      </c>
      <c r="AG13" s="793">
        <f>'CUADRO 13- Incentivo ISAN'!I11</f>
        <v>923317.95825395</v>
      </c>
      <c r="AH13" s="794">
        <f>'CUADRO 6 -FGP'!F12+'CUADRO 6 -FGP'!L12+'CUADRO 6 -FGP'!R12</f>
        <v>5.6495036228011593</v>
      </c>
      <c r="AI13" s="795">
        <f>'CUADRO 12- FOCO ISAN'!I11</f>
        <v>184165.22662068345</v>
      </c>
      <c r="AJ13" s="796">
        <f>ISR!S8</f>
        <v>4.9400649999999997</v>
      </c>
      <c r="AK13" s="799">
        <f>'CUADRO 21- ISR 2026'!O8</f>
        <v>25598619.846435174</v>
      </c>
      <c r="AL13" s="794">
        <f>'CUADRO 14 ISR Enaje'!T12</f>
        <v>5.6495036228011593</v>
      </c>
      <c r="AM13" s="795">
        <f>'CUADRO 14 ISR Enaje'!S12</f>
        <v>2259801.4491204638</v>
      </c>
      <c r="AN13" s="24"/>
    </row>
    <row r="14" spans="1:47" ht="27" customHeight="1" x14ac:dyDescent="0.25">
      <c r="A14" s="25" t="s">
        <v>50</v>
      </c>
      <c r="B14" s="26">
        <v>1.5</v>
      </c>
      <c r="C14" s="27">
        <f>[1]Datos!I$13*B14%</f>
        <v>14647920.2415</v>
      </c>
      <c r="D14" s="28">
        <f t="shared" si="0"/>
        <v>3.1613515100292262</v>
      </c>
      <c r="E14" s="32">
        <v>34300</v>
      </c>
      <c r="F14" s="30">
        <f t="shared" si="1"/>
        <v>3.1613515100292262</v>
      </c>
      <c r="G14" s="30">
        <f t="shared" si="2"/>
        <v>1.8968109060175355</v>
      </c>
      <c r="H14" s="31">
        <f>[1]Datos!$K$18*'CUADRO 5- Consolidado'!G14/100</f>
        <v>5302038.8067543237</v>
      </c>
      <c r="I14" s="28">
        <v>1.071404</v>
      </c>
      <c r="J14" s="28">
        <f t="shared" si="3"/>
        <v>5.0099246545495904</v>
      </c>
      <c r="K14" s="28">
        <f t="shared" si="4"/>
        <v>1.5029773963648771</v>
      </c>
      <c r="L14" s="32">
        <f>[1]Datos!$K$18*'CUADRO 5- Consolidado'!K14/100</f>
        <v>4201180.2314718887</v>
      </c>
      <c r="M14" s="33">
        <f t="shared" si="5"/>
        <v>9503219.0382262133</v>
      </c>
      <c r="N14" s="28">
        <f t="shared" si="6"/>
        <v>3.3997883023824125</v>
      </c>
      <c r="O14" s="28">
        <f t="shared" si="7"/>
        <v>0.29413596114182955</v>
      </c>
      <c r="P14" s="28">
        <f t="shared" si="8"/>
        <v>4.6153301986988051</v>
      </c>
      <c r="Q14" s="28">
        <f t="shared" si="9"/>
        <v>0.46153301986988055</v>
      </c>
      <c r="R14" s="34">
        <f>Q14*[1]Datos!$K$18/100</f>
        <v>1290094.8503540491</v>
      </c>
      <c r="S14" s="786">
        <f>'CUADRO 6 -FGP'!U13</f>
        <v>5.2511692356964428</v>
      </c>
      <c r="T14" s="787">
        <f>'CUADRO 6 -FGP'!T13</f>
        <v>79095519.944317162</v>
      </c>
      <c r="U14" s="788">
        <f>'CUADRO 7 FFM'!S13</f>
        <v>1.9315955812662491</v>
      </c>
      <c r="V14" s="789">
        <f>'CUADRO 7 FFM'!N13</f>
        <v>0.62189878463316728</v>
      </c>
      <c r="W14" s="790">
        <f>'CUADRO 7 FFM'!Q13</f>
        <v>10248459.879611779</v>
      </c>
      <c r="X14" s="791">
        <f>'CUADRO10 -FOFIR'!I13</f>
        <v>2.9089418031835925E-3</v>
      </c>
      <c r="Y14" s="790">
        <f>'CUADRO10 -FOFIR'!K13</f>
        <v>1421095.3348910813</v>
      </c>
      <c r="Z14" s="940">
        <f>' CUADRO 11- FOCO'!D14+' CUADRO 11- FOCO'!G14</f>
        <v>3.4706419063749485</v>
      </c>
      <c r="AA14" s="943">
        <f>' CUADRO 11- FOCO'!J14</f>
        <v>2388366.2278023493</v>
      </c>
      <c r="AB14" s="791">
        <f>'CUADRO 8- IEPS TyA'!E13</f>
        <v>0.05</v>
      </c>
      <c r="AC14" s="790">
        <f>'CUADRO 8- IEPS TyA'!G13</f>
        <v>3594960.9337500003</v>
      </c>
      <c r="AD14" s="791">
        <f>'CUADRO 9 IEPS GyD '!D13</f>
        <v>3.8487813406547868</v>
      </c>
      <c r="AE14" s="790">
        <f>'CUADRO 9 IEPS GyD '!E13</f>
        <v>3017271.5192801286</v>
      </c>
      <c r="AF14" s="798">
        <f>'CUADRO 6 -FGP'!F13+'CUADRO 6 -FGP'!L13+'CUADRO 6 -FGP'!R13</f>
        <v>5.2511692356964428</v>
      </c>
      <c r="AG14" s="793">
        <f>'CUADRO 13- Incentivo ISAN'!I12</f>
        <v>858216.7887424404</v>
      </c>
      <c r="AH14" s="794">
        <f>'CUADRO 6 -FGP'!F13+'CUADRO 6 -FGP'!L13+'CUADRO 6 -FGP'!R13</f>
        <v>5.2511692356964428</v>
      </c>
      <c r="AI14" s="795">
        <f>'CUADRO 12- FOCO ISAN'!I12</f>
        <v>171180.13136808886</v>
      </c>
      <c r="AJ14" s="796">
        <f>ISR!S9</f>
        <v>2.6325409999999998</v>
      </c>
      <c r="AK14" s="799">
        <f>'CUADRO 21- ISR 2026'!O9</f>
        <v>6253200.2795755649</v>
      </c>
      <c r="AL14" s="794">
        <f>'CUADRO 14 ISR Enaje'!T13</f>
        <v>5.2511692356964428</v>
      </c>
      <c r="AM14" s="795">
        <f>'CUADRO 14 ISR Enaje'!S13</f>
        <v>2100467.6942785769</v>
      </c>
      <c r="AN14" s="24"/>
    </row>
    <row r="15" spans="1:47" ht="27" customHeight="1" x14ac:dyDescent="0.25">
      <c r="A15" s="25" t="s">
        <v>51</v>
      </c>
      <c r="B15" s="26">
        <v>1.53</v>
      </c>
      <c r="C15" s="27">
        <f>[1]Datos!I$13*B15%</f>
        <v>14940878.646330001</v>
      </c>
      <c r="D15" s="28">
        <f t="shared" si="0"/>
        <v>1.050711580592804</v>
      </c>
      <c r="E15" s="32">
        <v>11400</v>
      </c>
      <c r="F15" s="30">
        <f t="shared" si="1"/>
        <v>1.050711580592804</v>
      </c>
      <c r="G15" s="30">
        <f t="shared" si="2"/>
        <v>0.63042694835568236</v>
      </c>
      <c r="H15" s="31">
        <f>[1]Datos!$K$18*'CUADRO 5- Consolidado'!G15/100</f>
        <v>1762193.6558891919</v>
      </c>
      <c r="I15" s="28">
        <v>1.737498</v>
      </c>
      <c r="J15" s="28">
        <f t="shared" si="3"/>
        <v>8.1246047872050173</v>
      </c>
      <c r="K15" s="28">
        <f t="shared" si="4"/>
        <v>2.4373814361615049</v>
      </c>
      <c r="L15" s="32">
        <f>[1]Datos!$K$18*'CUADRO 5- Consolidado'!K15/100</f>
        <v>6813062.3460636167</v>
      </c>
      <c r="M15" s="33">
        <f t="shared" si="5"/>
        <v>8575256.0019528084</v>
      </c>
      <c r="N15" s="28">
        <f t="shared" si="6"/>
        <v>3.0678083845171873</v>
      </c>
      <c r="O15" s="28">
        <f t="shared" si="7"/>
        <v>0.32596559975742434</v>
      </c>
      <c r="P15" s="28">
        <f t="shared" si="8"/>
        <v>5.1147736932852705</v>
      </c>
      <c r="Q15" s="28">
        <f t="shared" si="9"/>
        <v>0.51147736932852705</v>
      </c>
      <c r="R15" s="34">
        <f>Q15*[1]Datos!$K$18/100</f>
        <v>1429701.2171077179</v>
      </c>
      <c r="S15" s="786">
        <f>'CUADRO 6 -FGP'!U14</f>
        <v>2.6896373379327465</v>
      </c>
      <c r="T15" s="787">
        <f>'CUADRO 6 -FGP'!T14</f>
        <v>47950797.527348675</v>
      </c>
      <c r="U15" s="788">
        <f>'CUADRO 7 FFM'!S14</f>
        <v>0.50268728258890316</v>
      </c>
      <c r="V15" s="789">
        <f>'CUADRO 7 FFM'!N14</f>
        <v>8.9309941480605573E-2</v>
      </c>
      <c r="W15" s="790">
        <f>'CUADRO 7 FFM'!Q14</f>
        <v>7542523.2331006583</v>
      </c>
      <c r="X15" s="791">
        <f>'CUADRO10 -FOFIR'!I14</f>
        <v>8.0254309322601758E-4</v>
      </c>
      <c r="Y15" s="790">
        <f>'CUADRO10 -FOFIR'!K14</f>
        <v>489761.29164207651</v>
      </c>
      <c r="Z15" s="940">
        <f>' CUADRO 11- FOCO'!D15+' CUADRO 11- FOCO'!G15</f>
        <v>3.7119397222843022</v>
      </c>
      <c r="AA15" s="943">
        <f>' CUADRO 11- FOCO'!J15</f>
        <v>2554418.3789337566</v>
      </c>
      <c r="AB15" s="791">
        <f>'CUADRO 8- IEPS TyA'!E14</f>
        <v>0.05</v>
      </c>
      <c r="AC15" s="790">
        <f>'CUADRO 8- IEPS TyA'!G14</f>
        <v>3557862.9337500003</v>
      </c>
      <c r="AD15" s="791">
        <f>'CUADRO 9 IEPS GyD '!D14</f>
        <v>0.98991789266473262</v>
      </c>
      <c r="AE15" s="790">
        <f>'CUADRO 9 IEPS GyD '!E14</f>
        <v>776051.11841842206</v>
      </c>
      <c r="AF15" s="798">
        <f>'CUADRO 6 -FGP'!F14+'CUADRO 6 -FGP'!L14+'CUADRO 6 -FGP'!R14</f>
        <v>2.6896373379327465</v>
      </c>
      <c r="AG15" s="793">
        <f>'CUADRO 13- Incentivo ISAN'!I13</f>
        <v>439576.75242136198</v>
      </c>
      <c r="AH15" s="794">
        <f>'CUADRO 6 -FGP'!F14+'CUADRO 6 -FGP'!L14+'CUADRO 6 -FGP'!R14</f>
        <v>2.6896373379327465</v>
      </c>
      <c r="AI15" s="795">
        <f>'CUADRO 12- FOCO ISAN'!I13</f>
        <v>87678.086950625875</v>
      </c>
      <c r="AJ15" s="796">
        <f>ISR!S10</f>
        <v>1.167557</v>
      </c>
      <c r="AK15" s="799">
        <f>'CUADRO 21- ISR 2026'!O10</f>
        <v>3506291.3179920428</v>
      </c>
      <c r="AL15" s="794">
        <f>'CUADRO 14 ISR Enaje'!T14</f>
        <v>2.6896373379327465</v>
      </c>
      <c r="AM15" s="795">
        <f>'CUADRO 14 ISR Enaje'!S14</f>
        <v>1075854.9351730985</v>
      </c>
      <c r="AN15" s="24"/>
    </row>
    <row r="16" spans="1:47" ht="27" customHeight="1" x14ac:dyDescent="0.25">
      <c r="A16" s="25" t="s">
        <v>52</v>
      </c>
      <c r="B16" s="26">
        <v>3.16</v>
      </c>
      <c r="C16" s="27">
        <f>[1]Datos!I$13*B16%</f>
        <v>30858285.308760002</v>
      </c>
      <c r="D16" s="28">
        <f t="shared" si="0"/>
        <v>2.5136892050445216</v>
      </c>
      <c r="E16" s="32">
        <v>27273</v>
      </c>
      <c r="F16" s="30">
        <f t="shared" si="1"/>
        <v>2.5136892050445216</v>
      </c>
      <c r="G16" s="30">
        <f t="shared" si="2"/>
        <v>1.5082135230267129</v>
      </c>
      <c r="H16" s="31">
        <f>[1]Datos!$K$18*'CUADRO 5- Consolidado'!G16/100</f>
        <v>4215816.4541285904</v>
      </c>
      <c r="I16" s="28">
        <v>0.789829</v>
      </c>
      <c r="J16" s="28">
        <f t="shared" si="3"/>
        <v>3.6932695602949481</v>
      </c>
      <c r="K16" s="28">
        <f t="shared" si="4"/>
        <v>1.1079808680884844</v>
      </c>
      <c r="L16" s="32">
        <f>[1]Datos!$K$18*'CUADRO 5- Consolidado'!K16/100</f>
        <v>3097070.7417960083</v>
      </c>
      <c r="M16" s="33">
        <f t="shared" si="5"/>
        <v>7312887.1959245987</v>
      </c>
      <c r="N16" s="28">
        <f t="shared" si="6"/>
        <v>2.6161943911151972</v>
      </c>
      <c r="O16" s="28">
        <f t="shared" si="7"/>
        <v>0.38223459365102186</v>
      </c>
      <c r="P16" s="28">
        <f t="shared" si="8"/>
        <v>5.9976986704263497</v>
      </c>
      <c r="Q16" s="28">
        <f t="shared" si="9"/>
        <v>0.59976986704263502</v>
      </c>
      <c r="R16" s="34">
        <f>Q16*[1]Datos!$K$18/100</f>
        <v>1676499.8029553366</v>
      </c>
      <c r="S16" s="786">
        <f>'CUADRO 6 -FGP'!U15</f>
        <v>3.2966407951075851</v>
      </c>
      <c r="T16" s="787">
        <f>'CUADRO 6 -FGP'!T15</f>
        <v>71317957.581899494</v>
      </c>
      <c r="U16" s="788">
        <f>'CUADRO 7 FFM'!S15</f>
        <v>1.9413439379063349</v>
      </c>
      <c r="V16" s="789">
        <f>'CUADRO 7 FFM'!N15</f>
        <v>0</v>
      </c>
      <c r="W16" s="790">
        <f>'CUADRO 7 FFM'!Q15</f>
        <v>16988127.759955849</v>
      </c>
      <c r="X16" s="791">
        <f>'CUADRO10 -FOFIR'!I15</f>
        <v>0.18797210860018762</v>
      </c>
      <c r="Y16" s="790">
        <f>'CUADRO10 -FOFIR'!K15</f>
        <v>1306644.6983228412</v>
      </c>
      <c r="Z16" s="940">
        <f>' CUADRO 11- FOCO'!D16+' CUADRO 11- FOCO'!G16</f>
        <v>2.9202501067459696</v>
      </c>
      <c r="AA16" s="943">
        <f>' CUADRO 11- FOCO'!J16</f>
        <v>2009607.13315803</v>
      </c>
      <c r="AB16" s="791">
        <f>'CUADRO 8- IEPS TyA'!E15</f>
        <v>0.05</v>
      </c>
      <c r="AC16" s="790">
        <f>'CUADRO 8- IEPS TyA'!G15</f>
        <v>2566521.9337500003</v>
      </c>
      <c r="AD16" s="791">
        <f>'CUADRO 9 IEPS GyD '!D15</f>
        <v>2.3715130283878989</v>
      </c>
      <c r="AE16" s="790">
        <f>'CUADRO 9 IEPS GyD '!E15</f>
        <v>1859159.5845086959</v>
      </c>
      <c r="AF16" s="798">
        <f>'CUADRO 6 -FGP'!F15+'CUADRO 6 -FGP'!L15+'CUADRO 6 -FGP'!R15</f>
        <v>3.2966407951075847</v>
      </c>
      <c r="AG16" s="793">
        <f>'CUADRO 13- Incentivo ISAN'!I14</f>
        <v>538781.43130142835</v>
      </c>
      <c r="AH16" s="794">
        <f>'CUADRO 6 -FGP'!F15+'CUADRO 6 -FGP'!L15+'CUADRO 6 -FGP'!R15</f>
        <v>3.2966407951075847</v>
      </c>
      <c r="AI16" s="795">
        <f>'CUADRO 12- FOCO ISAN'!I14</f>
        <v>107465.4765540181</v>
      </c>
      <c r="AJ16" s="796">
        <f>ISR!S11</f>
        <v>2.7555960000000002</v>
      </c>
      <c r="AK16" s="799">
        <f>'CUADRO 21- ISR 2026'!O11</f>
        <v>9473633.7678699102</v>
      </c>
      <c r="AL16" s="794">
        <f>'CUADRO 14 ISR Enaje'!T15</f>
        <v>3.2966407951075847</v>
      </c>
      <c r="AM16" s="795">
        <f>'CUADRO 14 ISR Enaje'!S15</f>
        <v>1318656.3180430341</v>
      </c>
      <c r="AN16" s="24"/>
    </row>
    <row r="17" spans="1:40" ht="27" customHeight="1" x14ac:dyDescent="0.25">
      <c r="A17" s="25" t="s">
        <v>53</v>
      </c>
      <c r="B17" s="26">
        <v>2.81</v>
      </c>
      <c r="C17" s="27">
        <f>[1]Datos!I$13*B17%</f>
        <v>27440437.252410002</v>
      </c>
      <c r="D17" s="28">
        <f t="shared" si="0"/>
        <v>1.6311836450290742</v>
      </c>
      <c r="E17" s="32">
        <v>17698</v>
      </c>
      <c r="F17" s="30">
        <f t="shared" si="1"/>
        <v>1.6311836450290742</v>
      </c>
      <c r="G17" s="30">
        <f t="shared" si="2"/>
        <v>0.9787101870174445</v>
      </c>
      <c r="H17" s="31">
        <f>[1]Datos!$K$18*'CUADRO 5- Consolidado'!G17/100</f>
        <v>2735728.3615725366</v>
      </c>
      <c r="I17" s="28">
        <v>1.0861320000000001</v>
      </c>
      <c r="J17" s="28">
        <f t="shared" si="3"/>
        <v>5.0787933262291878</v>
      </c>
      <c r="K17" s="28">
        <f t="shared" si="4"/>
        <v>1.5236379978687562</v>
      </c>
      <c r="L17" s="32">
        <f>[1]Datos!$K$18*'CUADRO 5- Consolidado'!K17/100</f>
        <v>4258931.5395210637</v>
      </c>
      <c r="M17" s="33">
        <f t="shared" si="5"/>
        <v>6994659.9010936003</v>
      </c>
      <c r="N17" s="28">
        <f t="shared" si="6"/>
        <v>2.5023481848862006</v>
      </c>
      <c r="O17" s="28">
        <f t="shared" si="7"/>
        <v>0.3996246429812792</v>
      </c>
      <c r="P17" s="28">
        <f t="shared" si="8"/>
        <v>6.2705684668267221</v>
      </c>
      <c r="Q17" s="28">
        <f t="shared" si="9"/>
        <v>0.62705684668267225</v>
      </c>
      <c r="R17" s="34">
        <f>Q17*[1]Datos!$K$18/100</f>
        <v>1752773.4180593055</v>
      </c>
      <c r="S17" s="786">
        <f>'CUADRO 6 -FGP'!U16</f>
        <v>2.9179725284992895</v>
      </c>
      <c r="T17" s="787">
        <f>'CUADRO 6 -FGP'!T16</f>
        <v>63252713.913037993</v>
      </c>
      <c r="U17" s="788">
        <f>'CUADRO 7 FFM'!S16</f>
        <v>1.0341223267822914</v>
      </c>
      <c r="V17" s="789">
        <f>'CUADRO 7 FFM'!N16</f>
        <v>0</v>
      </c>
      <c r="W17" s="790">
        <f>'CUADRO 7 FFM'!Q16</f>
        <v>13922062.632488579</v>
      </c>
      <c r="X17" s="791">
        <f>'CUADRO10 -FOFIR'!I16</f>
        <v>4.1371720137214872E-2</v>
      </c>
      <c r="Y17" s="790">
        <f>'CUADRO10 -FOFIR'!K16</f>
        <v>769614.32593124569</v>
      </c>
      <c r="Z17" s="940">
        <f>' CUADRO 11- FOCO'!D17+' CUADRO 11- FOCO'!G17</f>
        <v>3.0057082759150693</v>
      </c>
      <c r="AA17" s="943">
        <f>' CUADRO 11- FOCO'!J17</f>
        <v>2068416.2556890501</v>
      </c>
      <c r="AB17" s="791">
        <f>'CUADRO 8- IEPS TyA'!E16</f>
        <v>0.05</v>
      </c>
      <c r="AC17" s="790">
        <f>'CUADRO 8- IEPS TyA'!G16</f>
        <v>2681937.9337500003</v>
      </c>
      <c r="AD17" s="791">
        <f>'CUADRO 9 IEPS GyD '!D16</f>
        <v>1.563876010153336</v>
      </c>
      <c r="AE17" s="790">
        <f>'CUADRO 9 IEPS GyD '!E16</f>
        <v>1226008.47579414</v>
      </c>
      <c r="AF17" s="798">
        <f>'CUADRO 6 -FGP'!F16+'CUADRO 6 -FGP'!L16+'CUADRO 6 -FGP'!R16</f>
        <v>2.9179725284992895</v>
      </c>
      <c r="AG17" s="793">
        <f>'CUADRO 13- Incentivo ISAN'!I15</f>
        <v>476894.36402542255</v>
      </c>
      <c r="AH17" s="794">
        <f>'CUADRO 6 -FGP'!F16+'CUADRO 6 -FGP'!L16+'CUADRO 6 -FGP'!R16</f>
        <v>2.9179725284992895</v>
      </c>
      <c r="AI17" s="795">
        <f>'CUADRO 12- FOCO ISAN'!I15</f>
        <v>95121.466922354128</v>
      </c>
      <c r="AJ17" s="796">
        <f>ISR!S12</f>
        <v>2.284875</v>
      </c>
      <c r="AK17" s="799">
        <f>'CUADRO 21- ISR 2026'!O12</f>
        <v>4681431.1746033672</v>
      </c>
      <c r="AL17" s="794">
        <f>'CUADRO 14 ISR Enaje'!T16</f>
        <v>2.9179725284992895</v>
      </c>
      <c r="AM17" s="795">
        <f>'CUADRO 14 ISR Enaje'!S16</f>
        <v>1167189.0113997157</v>
      </c>
      <c r="AN17" s="24"/>
    </row>
    <row r="18" spans="1:40" ht="27" customHeight="1" x14ac:dyDescent="0.25">
      <c r="A18" s="25" t="s">
        <v>54</v>
      </c>
      <c r="B18" s="26">
        <v>1.6</v>
      </c>
      <c r="C18" s="27">
        <f>[1]Datos!I$13*B18%</f>
        <v>15624448.2576</v>
      </c>
      <c r="D18" s="28">
        <f t="shared" si="0"/>
        <v>1.2534804821107137</v>
      </c>
      <c r="E18" s="32">
        <v>13600</v>
      </c>
      <c r="F18" s="30">
        <f t="shared" si="1"/>
        <v>1.2534804821107137</v>
      </c>
      <c r="G18" s="30">
        <f t="shared" si="2"/>
        <v>0.75208828926642823</v>
      </c>
      <c r="H18" s="31">
        <f>[1]Datos!$K$18*'CUADRO 5- Consolidado'!G18/100</f>
        <v>2102266.1157976328</v>
      </c>
      <c r="I18" s="28">
        <v>0.84773799999999999</v>
      </c>
      <c r="J18" s="28">
        <f t="shared" si="3"/>
        <v>3.9640541819878972</v>
      </c>
      <c r="K18" s="28">
        <f t="shared" si="4"/>
        <v>1.1892162545963691</v>
      </c>
      <c r="L18" s="32">
        <f>[1]Datos!$K$18*'CUADRO 5- Consolidado'!K18/100</f>
        <v>3324143.0189429163</v>
      </c>
      <c r="M18" s="33">
        <f t="shared" si="5"/>
        <v>5426409.1347405491</v>
      </c>
      <c r="N18" s="28">
        <f t="shared" si="6"/>
        <v>1.9413045438627974</v>
      </c>
      <c r="O18" s="28">
        <f t="shared" si="7"/>
        <v>0.51511752916943432</v>
      </c>
      <c r="P18" s="28">
        <f t="shared" si="8"/>
        <v>8.0827841622141037</v>
      </c>
      <c r="Q18" s="28">
        <f t="shared" si="9"/>
        <v>0.80827841622141039</v>
      </c>
      <c r="R18" s="34">
        <f>Q18*[1]Datos!$K$18/100</f>
        <v>2259330.9200575752</v>
      </c>
      <c r="S18" s="786">
        <f>'CUADRO 6 -FGP'!U17</f>
        <v>2.7163014877407865</v>
      </c>
      <c r="T18" s="787">
        <f>'CUADRO 6 -FGP'!T17</f>
        <v>48961616.247552909</v>
      </c>
      <c r="U18" s="788">
        <f>'CUADRO 7 FFM'!S17</f>
        <v>0.62341175565643747</v>
      </c>
      <c r="V18" s="789">
        <f>'CUADRO 7 FFM'!N17</f>
        <v>0</v>
      </c>
      <c r="W18" s="790">
        <f>'CUADRO 7 FFM'!Q17</f>
        <v>7986338.3557448881</v>
      </c>
      <c r="X18" s="791">
        <f>'CUADRO10 -FOFIR'!I17</f>
        <v>7.943458038731319E-3</v>
      </c>
      <c r="Y18" s="790">
        <f>'CUADRO10 -FOFIR'!K17</f>
        <v>564546.7276983147</v>
      </c>
      <c r="Z18" s="940">
        <f>' CUADRO 11- FOCO'!D18+' CUADRO 11- FOCO'!G18</f>
        <v>3.4686366380201896</v>
      </c>
      <c r="AA18" s="943">
        <f>' CUADRO 11- FOCO'!J18</f>
        <v>2386986.2769617317</v>
      </c>
      <c r="AB18" s="791">
        <f>'CUADRO 8- IEPS TyA'!E17</f>
        <v>0.05</v>
      </c>
      <c r="AC18" s="790">
        <f>'CUADRO 8- IEPS TyA'!G17</f>
        <v>3473361.9337500003</v>
      </c>
      <c r="AD18" s="791">
        <f>'CUADRO 9 IEPS GyD '!D17</f>
        <v>1.1104401937422297</v>
      </c>
      <c r="AE18" s="790">
        <f>'CUADRO 9 IEPS GyD '!E17</f>
        <v>870535.18344908697</v>
      </c>
      <c r="AF18" s="798">
        <f>'CUADRO 6 -FGP'!F17+'CUADRO 6 -FGP'!L17+'CUADRO 6 -FGP'!R17</f>
        <v>2.7163014877407865</v>
      </c>
      <c r="AG18" s="793">
        <f>'CUADRO 13- Incentivo ISAN'!I16</f>
        <v>443934.56684243318</v>
      </c>
      <c r="AH18" s="794">
        <f>'CUADRO 6 -FGP'!F17+'CUADRO 6 -FGP'!L17+'CUADRO 6 -FGP'!R17</f>
        <v>2.7163014877407865</v>
      </c>
      <c r="AI18" s="795">
        <f>'CUADRO 12- FOCO ISAN'!I16</f>
        <v>88547.297684862162</v>
      </c>
      <c r="AJ18" s="796">
        <f>ISR!S13</f>
        <v>1.648209</v>
      </c>
      <c r="AK18" s="799">
        <f>'CUADRO 21- ISR 2026'!O13</f>
        <v>1568871.616950243</v>
      </c>
      <c r="AL18" s="794">
        <f>'CUADRO 14 ISR Enaje'!T17</f>
        <v>2.7163014877407865</v>
      </c>
      <c r="AM18" s="795">
        <f>'CUADRO 14 ISR Enaje'!S17</f>
        <v>1086520.5950963148</v>
      </c>
      <c r="AN18" s="24"/>
    </row>
    <row r="19" spans="1:40" ht="27" customHeight="1" x14ac:dyDescent="0.25">
      <c r="A19" s="25" t="s">
        <v>55</v>
      </c>
      <c r="B19" s="26">
        <v>2.84</v>
      </c>
      <c r="C19" s="27">
        <f>[1]Datos!I$13*B19%</f>
        <v>27733395.65724</v>
      </c>
      <c r="D19" s="28">
        <f t="shared" si="0"/>
        <v>3.1699231045024834</v>
      </c>
      <c r="E19" s="32">
        <v>34393</v>
      </c>
      <c r="F19" s="30">
        <f t="shared" si="1"/>
        <v>3.1699231045024834</v>
      </c>
      <c r="G19" s="30">
        <f t="shared" si="2"/>
        <v>1.90195386270149</v>
      </c>
      <c r="H19" s="31">
        <f>[1]Datos!$K$18*'CUADRO 5- Consolidado'!G19/100</f>
        <v>5316414.5971049992</v>
      </c>
      <c r="I19" s="28">
        <v>1.369108</v>
      </c>
      <c r="J19" s="28">
        <f t="shared" si="3"/>
        <v>6.4019995482013146</v>
      </c>
      <c r="K19" s="28">
        <f t="shared" si="4"/>
        <v>1.9205998644603943</v>
      </c>
      <c r="L19" s="32">
        <f>[1]Datos!$K$18*'CUADRO 5- Consolidado'!K19/100</f>
        <v>5368534.6184539311</v>
      </c>
      <c r="M19" s="33">
        <f t="shared" si="5"/>
        <v>10684949.215558931</v>
      </c>
      <c r="N19" s="28">
        <f t="shared" si="6"/>
        <v>3.8225537271618846</v>
      </c>
      <c r="O19" s="28">
        <f t="shared" si="7"/>
        <v>0.26160521770938344</v>
      </c>
      <c r="P19" s="28">
        <f t="shared" si="8"/>
        <v>4.1048855663354225</v>
      </c>
      <c r="Q19" s="28">
        <f t="shared" si="9"/>
        <v>0.41048855663354228</v>
      </c>
      <c r="R19" s="34">
        <f>Q19*[1]Datos!$K$18/100</f>
        <v>1147413.4032522747</v>
      </c>
      <c r="S19" s="786">
        <f>'CUADRO 6 -FGP'!U18</f>
        <v>3.687422971777889</v>
      </c>
      <c r="T19" s="787">
        <f>'CUADRO 6 -FGP'!T18</f>
        <v>72989137.560327962</v>
      </c>
      <c r="U19" s="788">
        <f>'CUADRO 7 FFM'!S18</f>
        <v>1.5468001601083268</v>
      </c>
      <c r="V19" s="789">
        <f>'CUADRO 7 FFM'!N18</f>
        <v>17.2202688323631</v>
      </c>
      <c r="W19" s="790">
        <f>'CUADRO 7 FFM'!Q18</f>
        <v>27557692.05105539</v>
      </c>
      <c r="X19" s="791">
        <f>'CUADRO10 -FOFIR'!I18</f>
        <v>5.3672373713751546E-2</v>
      </c>
      <c r="Y19" s="790">
        <f>'CUADRO10 -FOFIR'!K18</f>
        <v>1526301.2486099016</v>
      </c>
      <c r="Z19" s="940">
        <f>' CUADRO 11- FOCO'!D19+' CUADRO 11- FOCO'!G19</f>
        <v>3.0018401196972491</v>
      </c>
      <c r="AA19" s="943">
        <f>' CUADRO 11- FOCO'!J19</f>
        <v>2065754.3349482398</v>
      </c>
      <c r="AB19" s="791">
        <f>'CUADRO 8- IEPS TyA'!E18</f>
        <v>0.05</v>
      </c>
      <c r="AC19" s="790">
        <f>'CUADRO 8- IEPS TyA'!G18</f>
        <v>2669571.9337500003</v>
      </c>
      <c r="AD19" s="791">
        <f>'CUADRO 9 IEPS GyD '!D18</f>
        <v>2.7169725186489848</v>
      </c>
      <c r="AE19" s="790">
        <f>'CUADRO 9 IEPS GyD '!E18</f>
        <v>2129984.2920646914</v>
      </c>
      <c r="AF19" s="798">
        <f>'CUADRO 6 -FGP'!F18+'CUADRO 6 -FGP'!L18+'CUADRO 6 -FGP'!R18</f>
        <v>3.6874229717778886</v>
      </c>
      <c r="AG19" s="793">
        <f>'CUADRO 13- Incentivo ISAN'!I17</f>
        <v>602648.31688568043</v>
      </c>
      <c r="AH19" s="794">
        <f>'CUADRO 6 -FGP'!F18+'CUADRO 6 -FGP'!L18+'CUADRO 6 -FGP'!R18</f>
        <v>3.6874229717778886</v>
      </c>
      <c r="AI19" s="795">
        <f>'CUADRO 12- FOCO ISAN'!I17</f>
        <v>120204.38123147485</v>
      </c>
      <c r="AJ19" s="796">
        <f>ISR!S14</f>
        <v>0.55932199999999999</v>
      </c>
      <c r="AK19" s="799">
        <f>'CUADRO 21- ISR 2026'!O14</f>
        <v>9168049.0751767829</v>
      </c>
      <c r="AL19" s="794">
        <f>'CUADRO 14 ISR Enaje'!T18</f>
        <v>3.6874229717778886</v>
      </c>
      <c r="AM19" s="795">
        <f>'CUADRO 14 ISR Enaje'!S18</f>
        <v>1474969.1887111557</v>
      </c>
      <c r="AN19" s="24"/>
    </row>
    <row r="20" spans="1:40" ht="27" customHeight="1" x14ac:dyDescent="0.25">
      <c r="A20" s="25" t="s">
        <v>56</v>
      </c>
      <c r="B20" s="26">
        <v>3.33</v>
      </c>
      <c r="C20" s="27">
        <f>[1]Datos!I$13*B20%</f>
        <v>32518382.936130002</v>
      </c>
      <c r="D20" s="28">
        <f t="shared" si="0"/>
        <v>2.1630833407835541</v>
      </c>
      <c r="E20" s="32">
        <v>23469</v>
      </c>
      <c r="F20" s="30">
        <f t="shared" si="1"/>
        <v>2.1630833407835541</v>
      </c>
      <c r="G20" s="30">
        <f t="shared" si="2"/>
        <v>1.2978500044701324</v>
      </c>
      <c r="H20" s="31">
        <f>[1]Datos!$K$18*'CUADRO 5- Consolidado'!G20/100</f>
        <v>3627800.2552687232</v>
      </c>
      <c r="I20" s="28">
        <v>0.71338900000000005</v>
      </c>
      <c r="J20" s="28">
        <f t="shared" si="3"/>
        <v>3.3358332985358259</v>
      </c>
      <c r="K20" s="28">
        <f t="shared" si="4"/>
        <v>1.0007499895607477</v>
      </c>
      <c r="L20" s="32">
        <f>[1]Datos!$K$18*'CUADRO 5- Consolidado'!K20/100</f>
        <v>2797334.8654191126</v>
      </c>
      <c r="M20" s="33">
        <f t="shared" si="5"/>
        <v>6425135.1206878358</v>
      </c>
      <c r="N20" s="28">
        <f t="shared" si="6"/>
        <v>2.2985999940308801</v>
      </c>
      <c r="O20" s="28">
        <f t="shared" si="7"/>
        <v>0.4350474212985514</v>
      </c>
      <c r="P20" s="28">
        <f t="shared" si="8"/>
        <v>6.8263924397094096</v>
      </c>
      <c r="Q20" s="28">
        <f t="shared" si="9"/>
        <v>0.682639243970941</v>
      </c>
      <c r="R20" s="34">
        <f>Q20*[1]Datos!$K$18/100</f>
        <v>1908139.4729780732</v>
      </c>
      <c r="S20" s="786">
        <f>'CUADRO 6 -FGP'!U19</f>
        <v>3.0199463386419172</v>
      </c>
      <c r="T20" s="787">
        <f>'CUADRO 6 -FGP'!T19</f>
        <v>69582184.162290588</v>
      </c>
      <c r="U20" s="788">
        <f>'CUADRO 7 FFM'!S19</f>
        <v>1.1343339311350213</v>
      </c>
      <c r="V20" s="789">
        <f>'CUADRO 7 FFM'!N19</f>
        <v>0</v>
      </c>
      <c r="W20" s="790">
        <f>'CUADRO 7 FFM'!Q19</f>
        <v>16342403.856183551</v>
      </c>
      <c r="X20" s="791">
        <f>'CUADRO10 -FOFIR'!I19</f>
        <v>3.2561208093104435E-2</v>
      </c>
      <c r="Y20" s="790">
        <f>'CUADRO10 -FOFIR'!K19</f>
        <v>993574.06311534252</v>
      </c>
      <c r="Z20" s="940">
        <f>' CUADRO 11- FOCO'!D20+' CUADRO 11- FOCO'!G20</f>
        <v>2.8975625351725398</v>
      </c>
      <c r="AA20" s="943">
        <f>' CUADRO 11- FOCO'!J20</f>
        <v>1993994.3931524139</v>
      </c>
      <c r="AB20" s="791">
        <f>'CUADRO 8- IEPS TyA'!E19</f>
        <v>0.05</v>
      </c>
      <c r="AC20" s="790">
        <f>'CUADRO 8- IEPS TyA'!G19</f>
        <v>2519118.9337500003</v>
      </c>
      <c r="AD20" s="791">
        <f>'CUADRO 9 IEPS GyD '!D19</f>
        <v>1.9503729796933278</v>
      </c>
      <c r="AE20" s="790">
        <f>'CUADRO 9 IEPS GyD '!E19</f>
        <v>1529004.7219468763</v>
      </c>
      <c r="AF20" s="798">
        <f>'CUADRO 6 -FGP'!F19+'CUADRO 6 -FGP'!L19+'CUADRO 6 -FGP'!R19</f>
        <v>3.0199463386419172</v>
      </c>
      <c r="AG20" s="793">
        <f>'CUADRO 13- Incentivo ISAN'!I18</f>
        <v>493560.29725825822</v>
      </c>
      <c r="AH20" s="794">
        <f>'CUADRO 6 -FGP'!F19+'CUADRO 6 -FGP'!L19+'CUADRO 6 -FGP'!R19</f>
        <v>3.0199463386419172</v>
      </c>
      <c r="AI20" s="795">
        <f>'CUADRO 12- FOCO ISAN'!I18</f>
        <v>98445.658056332017</v>
      </c>
      <c r="AJ20" s="796">
        <f>ISR!S15</f>
        <v>1.867856</v>
      </c>
      <c r="AK20" s="799">
        <f>'CUADRO 21- ISR 2026'!O15</f>
        <v>291439.61615535722</v>
      </c>
      <c r="AL20" s="794">
        <f>'CUADRO 14 ISR Enaje'!T19</f>
        <v>3.0199463386419172</v>
      </c>
      <c r="AM20" s="795">
        <f>'CUADRO 14 ISR Enaje'!S19</f>
        <v>1207978.5354567668</v>
      </c>
      <c r="AN20" s="24"/>
    </row>
    <row r="21" spans="1:40" ht="27" customHeight="1" x14ac:dyDescent="0.25">
      <c r="A21" s="25" t="s">
        <v>57</v>
      </c>
      <c r="B21" s="26">
        <v>4.6900000000000004</v>
      </c>
      <c r="C21" s="27">
        <f>[1]Datos!I$13*B21%</f>
        <v>45799163.955090009</v>
      </c>
      <c r="D21" s="28">
        <f t="shared" si="0"/>
        <v>3.9742704697510276</v>
      </c>
      <c r="E21" s="32">
        <v>43120</v>
      </c>
      <c r="F21" s="30">
        <f t="shared" si="1"/>
        <v>3.9742704697510276</v>
      </c>
      <c r="G21" s="30">
        <f t="shared" si="2"/>
        <v>2.3845622818506165</v>
      </c>
      <c r="H21" s="31">
        <f>[1]Datos!$K$18*'CUADRO 5- Consolidado'!G21/100</f>
        <v>6665420.2142054355</v>
      </c>
      <c r="I21" s="28">
        <v>0.39641700000000002</v>
      </c>
      <c r="J21" s="28">
        <f t="shared" si="3"/>
        <v>1.8536605256118004</v>
      </c>
      <c r="K21" s="28">
        <f t="shared" si="4"/>
        <v>0.5560981576835401</v>
      </c>
      <c r="L21" s="32">
        <f>[1]Datos!$K$18*'CUADRO 5- Consolidado'!K21/100</f>
        <v>1554426.96108974</v>
      </c>
      <c r="M21" s="33">
        <f t="shared" si="5"/>
        <v>8219847.175295176</v>
      </c>
      <c r="N21" s="28">
        <f t="shared" si="6"/>
        <v>2.9406604395341565</v>
      </c>
      <c r="O21" s="28">
        <f t="shared" si="7"/>
        <v>0.3400596636578736</v>
      </c>
      <c r="P21" s="28">
        <f t="shared" si="8"/>
        <v>5.3359257023412736</v>
      </c>
      <c r="Q21" s="28">
        <f t="shared" si="9"/>
        <v>0.53359257023412743</v>
      </c>
      <c r="R21" s="34">
        <f>Q21*[1]Datos!$K$18/100</f>
        <v>1491518.4773568413</v>
      </c>
      <c r="S21" s="786">
        <f>'CUADRO 6 -FGP'!U20</f>
        <v>3.8781030658324118</v>
      </c>
      <c r="T21" s="787">
        <f>'CUADRO 6 -FGP'!T20</f>
        <v>93395122.640639305</v>
      </c>
      <c r="U21" s="788">
        <f>'CUADRO 7 FFM'!S20</f>
        <v>2.1291840950001979</v>
      </c>
      <c r="V21" s="789">
        <f>'CUADRO 7 FFM'!N20</f>
        <v>0</v>
      </c>
      <c r="W21" s="790">
        <f>'CUADRO 7 FFM'!Q20</f>
        <v>23926398.869702488</v>
      </c>
      <c r="X21" s="791">
        <f>'CUADRO10 -FOFIR'!I20</f>
        <v>0.15825421617281318</v>
      </c>
      <c r="Y21" s="790">
        <f>'CUADRO10 -FOFIR'!K20</f>
        <v>1835509.7441035274</v>
      </c>
      <c r="Z21" s="940">
        <f>' CUADRO 11- FOCO'!D21+' CUADRO 11- FOCO'!G21</f>
        <v>3.241687505378259</v>
      </c>
      <c r="AA21" s="943">
        <f>' CUADRO 11- FOCO'!J21</f>
        <v>2230808.3541298206</v>
      </c>
      <c r="AB21" s="791">
        <f>'CUADRO 8- IEPS TyA'!E20</f>
        <v>0.05</v>
      </c>
      <c r="AC21" s="790">
        <f>'CUADRO 8- IEPS TyA'!G20</f>
        <v>2261493.9337500003</v>
      </c>
      <c r="AD21" s="791">
        <f>'CUADRO 9 IEPS GyD '!D20</f>
        <v>3.3605405615416495</v>
      </c>
      <c r="AE21" s="790">
        <f>'CUADRO 9 IEPS GyD '!E20</f>
        <v>2634512.7011035201</v>
      </c>
      <c r="AF21" s="798">
        <f>'CUADRO 6 -FGP'!F20+'CUADRO 6 -FGP'!L20+'CUADRO 6 -FGP'!R20</f>
        <v>3.8781030658324123</v>
      </c>
      <c r="AG21" s="793">
        <f>'CUADRO 13- Incentivo ISAN'!I19</f>
        <v>633811.82555421721</v>
      </c>
      <c r="AH21" s="794">
        <f>'CUADRO 6 -FGP'!F20+'CUADRO 6 -FGP'!L20+'CUADRO 6 -FGP'!R20</f>
        <v>3.8781030658324123</v>
      </c>
      <c r="AI21" s="795">
        <f>'CUADRO 12- FOCO ISAN'!I19</f>
        <v>126420.26232089926</v>
      </c>
      <c r="AJ21" s="796">
        <f>ISR!S16</f>
        <v>5.553299</v>
      </c>
      <c r="AK21" s="799">
        <f>'CUADRO 21- ISR 2026'!O16</f>
        <v>9681829.6768631693</v>
      </c>
      <c r="AL21" s="794">
        <f>'CUADRO 14 ISR Enaje'!T20</f>
        <v>3.8781030658324123</v>
      </c>
      <c r="AM21" s="795">
        <f>'CUADRO 14 ISR Enaje'!S20</f>
        <v>1551241.2263329646</v>
      </c>
      <c r="AN21" s="24"/>
    </row>
    <row r="22" spans="1:40" ht="27" customHeight="1" x14ac:dyDescent="0.25">
      <c r="A22" s="25" t="s">
        <v>58</v>
      </c>
      <c r="B22" s="26">
        <v>2.13</v>
      </c>
      <c r="C22" s="27">
        <f>[1]Datos!I$13*B22%</f>
        <v>20800046.742929999</v>
      </c>
      <c r="D22" s="28">
        <f t="shared" si="0"/>
        <v>0.69217929563613667</v>
      </c>
      <c r="E22" s="32">
        <v>7510</v>
      </c>
      <c r="F22" s="30">
        <f t="shared" si="1"/>
        <v>0.69217929563613667</v>
      </c>
      <c r="G22" s="30">
        <f t="shared" si="2"/>
        <v>0.415307577381682</v>
      </c>
      <c r="H22" s="31">
        <f>[1]Datos!$K$18*'CUADRO 5- Consolidado'!G22/100</f>
        <v>1160883.7154147222</v>
      </c>
      <c r="I22" s="28">
        <v>0.79456599999999999</v>
      </c>
      <c r="J22" s="28">
        <f t="shared" si="3"/>
        <v>3.7154199471598481</v>
      </c>
      <c r="K22" s="28">
        <f t="shared" si="4"/>
        <v>1.1146259841479544</v>
      </c>
      <c r="L22" s="32">
        <f>[1]Datos!$K$18*'CUADRO 5- Consolidado'!K22/100</f>
        <v>3115645.4258148116</v>
      </c>
      <c r="M22" s="33">
        <f t="shared" si="5"/>
        <v>4276529.1412295336</v>
      </c>
      <c r="N22" s="28">
        <f t="shared" si="6"/>
        <v>1.5299335615296363</v>
      </c>
      <c r="O22" s="28">
        <f t="shared" si="7"/>
        <v>0.65362315406702642</v>
      </c>
      <c r="P22" s="28">
        <f t="shared" si="8"/>
        <v>10.256096091833161</v>
      </c>
      <c r="Q22" s="28">
        <f t="shared" si="9"/>
        <v>1.0256096091833162</v>
      </c>
      <c r="R22" s="34">
        <f>Q22*[1]Datos!$K$18/100</f>
        <v>2866823.43043203</v>
      </c>
      <c r="S22" s="786">
        <f>'CUADRO 6 -FGP'!U21</f>
        <v>2.6080136409914254</v>
      </c>
      <c r="T22" s="787">
        <f>'CUADRO 6 -FGP'!T21</f>
        <v>52808197.996468917</v>
      </c>
      <c r="U22" s="788">
        <f>'CUADRO 7 FFM'!S21</f>
        <v>0.43333800375874559</v>
      </c>
      <c r="V22" s="789">
        <f>'CUADRO 7 FFM'!N21</f>
        <v>0</v>
      </c>
      <c r="W22" s="790">
        <f>'CUADRO 7 FFM'!Q21</f>
        <v>9953200.1985780504</v>
      </c>
      <c r="X22" s="791">
        <f>'CUADRO10 -FOFIR'!I21</f>
        <v>7.9848871807373708E-3</v>
      </c>
      <c r="Y22" s="790">
        <f>'CUADRO10 -FOFIR'!K21</f>
        <v>335357.90229295689</v>
      </c>
      <c r="Z22" s="940">
        <f>' CUADRO 11- FOCO'!D22+' CUADRO 11- FOCO'!G22</f>
        <v>5.2410315169123853</v>
      </c>
      <c r="AA22" s="943">
        <f>' CUADRO 11- FOCO'!J22</f>
        <v>3606682.2828505714</v>
      </c>
      <c r="AB22" s="791">
        <f>'CUADRO 8- IEPS TyA'!E21</f>
        <v>0.05</v>
      </c>
      <c r="AC22" s="790">
        <f>'CUADRO 8- IEPS TyA'!G21</f>
        <v>3015819.9337500003</v>
      </c>
      <c r="AD22" s="791">
        <f>'CUADRO 9 IEPS GyD '!D21</f>
        <v>0.62187564753418989</v>
      </c>
      <c r="AE22" s="790">
        <f>'CUADRO 9 IEPS GyD '!E21</f>
        <v>487522.54642753379</v>
      </c>
      <c r="AF22" s="798">
        <f>'CUADRO 6 -FGP'!F21+'CUADRO 6 -FGP'!L21+'CUADRO 6 -FGP'!R21</f>
        <v>2.608013640991425</v>
      </c>
      <c r="AG22" s="793">
        <f>'CUADRO 13- Incentivo ISAN'!I20</f>
        <v>426236.70872250828</v>
      </c>
      <c r="AH22" s="794">
        <f>'CUADRO 6 -FGP'!F21+'CUADRO 6 -FGP'!L21+'CUADRO 6 -FGP'!R21</f>
        <v>2.608013640991425</v>
      </c>
      <c r="AI22" s="795">
        <f>'CUADRO 12- FOCO ISAN'!I20</f>
        <v>85017.278559575934</v>
      </c>
      <c r="AJ22" s="796">
        <f>ISR!S17</f>
        <v>1.30671</v>
      </c>
      <c r="AK22" s="799">
        <f>'CUADRO 21- ISR 2026'!O17</f>
        <v>3070302.8611908588</v>
      </c>
      <c r="AL22" s="794">
        <f>'CUADRO 14 ISR Enaje'!T21</f>
        <v>2.608013640991425</v>
      </c>
      <c r="AM22" s="795">
        <f>'CUADRO 14 ISR Enaje'!S21</f>
        <v>1043205.4563965702</v>
      </c>
      <c r="AN22" s="24"/>
    </row>
    <row r="23" spans="1:40" ht="27" customHeight="1" x14ac:dyDescent="0.25">
      <c r="A23" s="25" t="s">
        <v>59</v>
      </c>
      <c r="B23" s="26">
        <v>2.81</v>
      </c>
      <c r="C23" s="27">
        <f>[1]Datos!I$13*B23%</f>
        <v>27440437.252410002</v>
      </c>
      <c r="D23" s="28">
        <f t="shared" si="0"/>
        <v>2.0656621003724496</v>
      </c>
      <c r="E23" s="32">
        <v>22412</v>
      </c>
      <c r="F23" s="30">
        <f t="shared" si="1"/>
        <v>2.0656621003724496</v>
      </c>
      <c r="G23" s="30">
        <f t="shared" si="2"/>
        <v>1.2393972602234697</v>
      </c>
      <c r="H23" s="31">
        <f>[1]Datos!$K$18*'CUADRO 5- Consolidado'!G23/100</f>
        <v>3464410.8961218046</v>
      </c>
      <c r="I23" s="28">
        <v>1.099386</v>
      </c>
      <c r="J23" s="28">
        <f t="shared" si="3"/>
        <v>5.1407695194965264</v>
      </c>
      <c r="K23" s="28">
        <f t="shared" si="4"/>
        <v>1.5422308558489579</v>
      </c>
      <c r="L23" s="32">
        <f>[1]Datos!$K$18*'CUADRO 5- Consolidado'!K23/100</f>
        <v>4310903.0113355508</v>
      </c>
      <c r="M23" s="33">
        <f t="shared" si="5"/>
        <v>7775313.9074573554</v>
      </c>
      <c r="N23" s="28">
        <f t="shared" si="6"/>
        <v>2.7816281160724277</v>
      </c>
      <c r="O23" s="28">
        <f t="shared" si="7"/>
        <v>0.35950168687968576</v>
      </c>
      <c r="P23" s="28">
        <f t="shared" si="8"/>
        <v>5.6409933198848687</v>
      </c>
      <c r="Q23" s="28">
        <f t="shared" si="9"/>
        <v>0.56409933198848694</v>
      </c>
      <c r="R23" s="34">
        <f>Q23*[1]Datos!$K$18/100</f>
        <v>1576792.1512780979</v>
      </c>
      <c r="S23" s="786">
        <f>'CUADRO 6 -FGP'!U22</f>
        <v>3.0247319555730168</v>
      </c>
      <c r="T23" s="787">
        <f>'CUADRO 6 -FGP'!T22</f>
        <v>64562972.354868069</v>
      </c>
      <c r="U23" s="788">
        <f>'CUADRO 7 FFM'!S22</f>
        <v>1.2435299505126973</v>
      </c>
      <c r="V23" s="789">
        <f>'CUADRO 7 FFM'!N22</f>
        <v>0</v>
      </c>
      <c r="W23" s="790">
        <f>'CUADRO 7 FFM'!Q22</f>
        <v>14280394.057187809</v>
      </c>
      <c r="X23" s="791">
        <f>'CUADRO10 -FOFIR'!I22</f>
        <v>4.9782778942383407E-2</v>
      </c>
      <c r="Y23" s="790">
        <f>'CUADRO10 -FOFIR'!K22</f>
        <v>1034699.1184504103</v>
      </c>
      <c r="Z23" s="940">
        <f>' CUADRO 11- FOCO'!D23+' CUADRO 11- FOCO'!G23</f>
        <v>2.8936083217094719</v>
      </c>
      <c r="AA23" s="943">
        <f>' CUADRO 11- FOCO'!J23</f>
        <v>1991273.2510272739</v>
      </c>
      <c r="AB23" s="791">
        <f>'CUADRO 8- IEPS TyA'!E22</f>
        <v>0.05</v>
      </c>
      <c r="AC23" s="790">
        <f>'CUADRO 8- IEPS TyA'!G22</f>
        <v>2681937.9337500003</v>
      </c>
      <c r="AD23" s="791">
        <f>'CUADRO 9 IEPS GyD '!D22</f>
        <v>2.0163405252797348</v>
      </c>
      <c r="AE23" s="790">
        <f>'CUADRO 9 IEPS GyD '!E22</f>
        <v>1580720.3116043592</v>
      </c>
      <c r="AF23" s="798">
        <f>'CUADRO 6 -FGP'!F22+'CUADRO 6 -FGP'!L22+'CUADRO 6 -FGP'!R22</f>
        <v>3.0247319555730172</v>
      </c>
      <c r="AG23" s="793">
        <f>'CUADRO 13- Incentivo ISAN'!I21</f>
        <v>494342.42722025607</v>
      </c>
      <c r="AH23" s="794">
        <f>'CUADRO 6 -FGP'!F22+'CUADRO 6 -FGP'!L22+'CUADRO 6 -FGP'!R22</f>
        <v>3.0247319555730172</v>
      </c>
      <c r="AI23" s="795">
        <f>'CUADRO 12- FOCO ISAN'!I21</f>
        <v>98601.661890558928</v>
      </c>
      <c r="AJ23" s="796">
        <f>ISR!S18</f>
        <v>2.6151149999999999</v>
      </c>
      <c r="AK23" s="799">
        <f>'CUADRO 21- ISR 2026'!O18</f>
        <v>6424721.2785642184</v>
      </c>
      <c r="AL23" s="794">
        <f>'CUADRO 14 ISR Enaje'!T22</f>
        <v>3.0247319555730172</v>
      </c>
      <c r="AM23" s="795">
        <f>'CUADRO 14 ISR Enaje'!S22</f>
        <v>1209892.7822292065</v>
      </c>
      <c r="AN23" s="24"/>
    </row>
    <row r="24" spans="1:40" ht="27" customHeight="1" x14ac:dyDescent="0.25">
      <c r="A24" s="25" t="s">
        <v>60</v>
      </c>
      <c r="B24" s="26">
        <v>8.34</v>
      </c>
      <c r="C24" s="27">
        <f>[1]Datos!I$13*B24%</f>
        <v>81442436.542740002</v>
      </c>
      <c r="D24" s="28">
        <f t="shared" si="0"/>
        <v>8.5784148817626882</v>
      </c>
      <c r="E24" s="32">
        <v>93074</v>
      </c>
      <c r="F24" s="30">
        <f t="shared" si="1"/>
        <v>8.5784148817626882</v>
      </c>
      <c r="G24" s="30">
        <f t="shared" si="2"/>
        <v>5.1470489290576129</v>
      </c>
      <c r="H24" s="31">
        <f>[1]Datos!$K$18*'CUADRO 5- Consolidado'!G24/100</f>
        <v>14387229.15159918</v>
      </c>
      <c r="I24" s="28">
        <v>0.94212600000000002</v>
      </c>
      <c r="J24" s="28">
        <f t="shared" si="3"/>
        <v>4.4054159542919269</v>
      </c>
      <c r="K24" s="28">
        <f t="shared" si="4"/>
        <v>1.3216247862875781</v>
      </c>
      <c r="L24" s="32">
        <f>[1]Datos!$K$18*'CUADRO 5- Consolidado'!K24/100</f>
        <v>3694256.4399196613</v>
      </c>
      <c r="M24" s="33">
        <f t="shared" si="5"/>
        <v>18081485.591518842</v>
      </c>
      <c r="N24" s="28">
        <f t="shared" si="6"/>
        <v>6.468673715345191</v>
      </c>
      <c r="O24" s="28">
        <f t="shared" si="7"/>
        <v>0.1545911950432387</v>
      </c>
      <c r="P24" s="28">
        <f t="shared" si="8"/>
        <v>2.4257129531739197</v>
      </c>
      <c r="Q24" s="28">
        <f t="shared" si="9"/>
        <v>0.24257129531739197</v>
      </c>
      <c r="R24" s="34">
        <f>Q24*[1]Datos!$K$18/100</f>
        <v>678044.61535797687</v>
      </c>
      <c r="S24" s="786">
        <f>'CUADRO 6 -FGP'!U23</f>
        <v>7.0312960513371792</v>
      </c>
      <c r="T24" s="787">
        <f>'CUADRO 6 -FGP'!T23</f>
        <v>167737532.54310304</v>
      </c>
      <c r="U24" s="788">
        <f>'CUADRO 7 FFM'!S23</f>
        <v>5.1469607213909114</v>
      </c>
      <c r="V24" s="789">
        <f>'CUADRO 7 FFM'!N23</f>
        <v>61.447366419041479</v>
      </c>
      <c r="W24" s="790">
        <f>'CUADRO 7 FFM'!Q23</f>
        <v>89938478.17436932</v>
      </c>
      <c r="X24" s="791">
        <f>'CUADRO10 -FOFIR'!I23</f>
        <v>1.0720689908576879</v>
      </c>
      <c r="Y24" s="790">
        <f>'CUADRO10 -FOFIR'!K23</f>
        <v>4553546.8393179933</v>
      </c>
      <c r="Z24" s="940">
        <f>' CUADRO 11- FOCO'!D24+' CUADRO 11- FOCO'!G24</f>
        <v>5.7177624010736645</v>
      </c>
      <c r="AA24" s="943">
        <f>' CUADRO 11- FOCO'!J24</f>
        <v>3934750.684661123</v>
      </c>
      <c r="AB24" s="791">
        <f>'CUADRO 8- IEPS TyA'!E23</f>
        <v>0.05</v>
      </c>
      <c r="AC24" s="790">
        <f>'CUADRO 8- IEPS TyA'!G23</f>
        <v>1985319.9337500003</v>
      </c>
      <c r="AD24" s="791">
        <f>'CUADRO 9 IEPS GyD '!D23</f>
        <v>7.6069888365105687</v>
      </c>
      <c r="AE24" s="790">
        <f>'CUADRO 9 IEPS GyD '!E23</f>
        <v>5963537.2166869771</v>
      </c>
      <c r="AF24" s="798">
        <f>'CUADRO 6 -FGP'!F23+'CUADRO 6 -FGP'!L23+'CUADRO 6 -FGP'!R23</f>
        <v>7.0312960513371801</v>
      </c>
      <c r="AG24" s="793">
        <f>'CUADRO 13- Incentivo ISAN'!I22</f>
        <v>1149149.084142149</v>
      </c>
      <c r="AH24" s="794">
        <f>'CUADRO 6 -FGP'!F23+'CUADRO 6 -FGP'!L23+'CUADRO 6 -FGP'!R23</f>
        <v>7.0312960513371801</v>
      </c>
      <c r="AI24" s="795">
        <f>'CUADRO 12- FOCO ISAN'!I22</f>
        <v>229209.55843012201</v>
      </c>
      <c r="AJ24" s="796">
        <f>ISR!S19</f>
        <v>2.1395200000000001</v>
      </c>
      <c r="AK24" s="799">
        <f>'CUADRO 21- ISR 2026'!O19</f>
        <v>2093052.2997824829</v>
      </c>
      <c r="AL24" s="794">
        <f>'CUADRO 14 ISR Enaje'!T23</f>
        <v>7.0312960513371801</v>
      </c>
      <c r="AM24" s="795">
        <f>'CUADRO 14 ISR Enaje'!S23</f>
        <v>2812518.420534872</v>
      </c>
      <c r="AN24" s="24"/>
    </row>
    <row r="25" spans="1:40" ht="27" customHeight="1" x14ac:dyDescent="0.25">
      <c r="A25" s="25" t="s">
        <v>61</v>
      </c>
      <c r="B25" s="26">
        <v>3.5</v>
      </c>
      <c r="C25" s="27">
        <f>[1]Datos!I$13*B25%</f>
        <v>34178480.563500002</v>
      </c>
      <c r="D25" s="28">
        <f t="shared" si="0"/>
        <v>3.6642183857936419</v>
      </c>
      <c r="E25" s="32">
        <v>39756</v>
      </c>
      <c r="F25" s="30">
        <f t="shared" si="1"/>
        <v>3.6642183857936419</v>
      </c>
      <c r="G25" s="30">
        <f t="shared" si="2"/>
        <v>2.1985310314761852</v>
      </c>
      <c r="H25" s="31">
        <f>[1]Datos!$K$18*'CUADRO 5- Consolidado'!G25/100</f>
        <v>6145418.5073272558</v>
      </c>
      <c r="I25" s="28">
        <v>2.345564</v>
      </c>
      <c r="J25" s="28">
        <f t="shared" si="3"/>
        <v>10.967943849774647</v>
      </c>
      <c r="K25" s="28">
        <f t="shared" si="4"/>
        <v>3.2903831549323939</v>
      </c>
      <c r="L25" s="32">
        <f>[1]Datos!$K$18*'CUADRO 5- Consolidado'!K25/100</f>
        <v>9197405.5617228691</v>
      </c>
      <c r="M25" s="33">
        <f t="shared" si="5"/>
        <v>15342824.069050126</v>
      </c>
      <c r="N25" s="28">
        <f t="shared" si="6"/>
        <v>5.4889141864085786</v>
      </c>
      <c r="O25" s="28">
        <f t="shared" si="7"/>
        <v>0.18218539515085852</v>
      </c>
      <c r="P25" s="28">
        <f t="shared" si="8"/>
        <v>2.8586975653622453</v>
      </c>
      <c r="Q25" s="28">
        <f t="shared" si="9"/>
        <v>0.28586975653622454</v>
      </c>
      <c r="R25" s="34">
        <f>Q25*[1]Datos!$K$18/100</f>
        <v>799074.13966464216</v>
      </c>
      <c r="S25" s="786">
        <f>'CUADRO 6 -FGP'!U24</f>
        <v>3.4747933905881783</v>
      </c>
      <c r="T25" s="787">
        <f>'CUADRO 6 -FGP'!T24</f>
        <v>76824619.629882842</v>
      </c>
      <c r="U25" s="788">
        <f>'CUADRO 7 FFM'!S24</f>
        <v>1.8405361105815885</v>
      </c>
      <c r="V25" s="789">
        <f>'CUADRO 7 FFM'!N24</f>
        <v>0</v>
      </c>
      <c r="W25" s="790">
        <f>'CUADRO 7 FFM'!Q24</f>
        <v>18286038.77755969</v>
      </c>
      <c r="X25" s="791">
        <f>'CUADRO10 -FOFIR'!I24</f>
        <v>0.10646472233465118</v>
      </c>
      <c r="Y25" s="790">
        <f>'CUADRO10 -FOFIR'!K24</f>
        <v>1791403.3148183748</v>
      </c>
      <c r="Z25" s="940">
        <f>' CUADRO 11- FOCO'!D25+' CUADRO 11- FOCO'!G25</f>
        <v>3.0983141490256898</v>
      </c>
      <c r="AA25" s="943">
        <f>' CUADRO 11- FOCO'!J25</f>
        <v>2132144.1613042317</v>
      </c>
      <c r="AB25" s="791">
        <f>'CUADRO 8- IEPS TyA'!E24</f>
        <v>0.05</v>
      </c>
      <c r="AC25" s="790">
        <f>'CUADRO 8- IEPS TyA'!G24</f>
        <v>2475837.9337500003</v>
      </c>
      <c r="AD25" s="791">
        <f>'CUADRO 9 IEPS GyD '!D24</f>
        <v>3.0057727673021133</v>
      </c>
      <c r="AE25" s="790">
        <f>'CUADRO 9 IEPS GyD '!E24</f>
        <v>2356390.701755364</v>
      </c>
      <c r="AF25" s="798">
        <f>'CUADRO 6 -FGP'!F24+'CUADRO 6 -FGP'!L24+'CUADRO 6 -FGP'!R24</f>
        <v>3.4747933905881783</v>
      </c>
      <c r="AG25" s="793">
        <f>'CUADRO 13- Incentivo ISAN'!I23</f>
        <v>567897.52745771769</v>
      </c>
      <c r="AH25" s="794">
        <f>'CUADRO 6 -FGP'!F24+'CUADRO 6 -FGP'!L24+'CUADRO 6 -FGP'!R24</f>
        <v>3.4747933905881783</v>
      </c>
      <c r="AI25" s="795">
        <f>'CUADRO 12- FOCO ISAN'!I23</f>
        <v>113272.98024112587</v>
      </c>
      <c r="AJ25" s="796">
        <f>ISR!S20</f>
        <v>0.257743</v>
      </c>
      <c r="AK25" s="799">
        <f>'CUADRO 21- ISR 2026'!O20</f>
        <v>3566646.0249952083</v>
      </c>
      <c r="AL25" s="794">
        <f>'CUADRO 14 ISR Enaje'!T24</f>
        <v>3.4747933905881783</v>
      </c>
      <c r="AM25" s="795">
        <f>'CUADRO 14 ISR Enaje'!S24</f>
        <v>1389917.3562352713</v>
      </c>
      <c r="AN25" s="24"/>
    </row>
    <row r="26" spans="1:40" ht="27" customHeight="1" x14ac:dyDescent="0.25">
      <c r="A26" s="25" t="s">
        <v>62</v>
      </c>
      <c r="B26" s="26">
        <v>39</v>
      </c>
      <c r="C26" s="27">
        <f>[1]Datos!I$13*B26%</f>
        <v>380845926.27900004</v>
      </c>
      <c r="D26" s="28">
        <f t="shared" si="0"/>
        <v>35.046669106037996</v>
      </c>
      <c r="E26" s="32">
        <v>380249</v>
      </c>
      <c r="F26" s="30">
        <f t="shared" si="1"/>
        <v>35.046669106037996</v>
      </c>
      <c r="G26" s="30">
        <f t="shared" si="2"/>
        <v>21.028001463622797</v>
      </c>
      <c r="H26" s="31">
        <f>[1]Datos!$K$18*'CUADRO 5- Consolidado'!G26/100</f>
        <v>58778278.548965737</v>
      </c>
      <c r="I26" s="28">
        <v>0.84406499999999995</v>
      </c>
      <c r="J26" s="28">
        <f t="shared" si="3"/>
        <v>3.9468790984002302</v>
      </c>
      <c r="K26" s="28">
        <f t="shared" si="4"/>
        <v>1.1840637295200691</v>
      </c>
      <c r="L26" s="32">
        <f>[1]Datos!$K$18*'CUADRO 5- Consolidado'!K26/100</f>
        <v>3309740.482653901</v>
      </c>
      <c r="M26" s="33">
        <f t="shared" si="5"/>
        <v>62088019.031619638</v>
      </c>
      <c r="N26" s="28">
        <f t="shared" si="6"/>
        <v>22.212065193142866</v>
      </c>
      <c r="O26" s="28">
        <f t="shared" si="7"/>
        <v>4.5020577389116981E-2</v>
      </c>
      <c r="P26" s="28">
        <f t="shared" si="8"/>
        <v>0.7064244357617202</v>
      </c>
      <c r="Q26" s="28">
        <f t="shared" si="9"/>
        <v>7.0642443576172026E-2</v>
      </c>
      <c r="R26" s="34">
        <f>Q26*[1]Datos!$K$18/100</f>
        <v>197462.47559869001</v>
      </c>
      <c r="S26" s="786">
        <f>'CUADRO 6 -FGP'!U25</f>
        <v>22.15163445687357</v>
      </c>
      <c r="T26" s="787">
        <f>'CUADRO 6 -FGP'!T25</f>
        <v>652712934.58927023</v>
      </c>
      <c r="U26" s="788">
        <f>'CUADRO 7 FFM'!S25</f>
        <v>33.66414119235823</v>
      </c>
      <c r="V26" s="789">
        <f>'CUADRO 7 FFM'!N25</f>
        <v>0</v>
      </c>
      <c r="W26" s="790">
        <f>'CUADRO 7 FFM'!Q25</f>
        <v>226269651.16659039</v>
      </c>
      <c r="X26" s="791">
        <f>'CUADRO10 -FOFIR'!I25</f>
        <v>59.406805010675569</v>
      </c>
      <c r="Y26" s="790">
        <f>'CUADRO10 -FOFIR'!K25</f>
        <v>51037815.23471909</v>
      </c>
      <c r="Z26" s="940">
        <f>' CUADRO 11- FOCO'!D26+' CUADRO 11- FOCO'!G26</f>
        <v>24.219218437611406</v>
      </c>
      <c r="AA26" s="943">
        <f>' CUADRO 11- FOCO'!J26</f>
        <v>16666762.213038839</v>
      </c>
      <c r="AB26" s="791">
        <f>'CUADRO 8- IEPS TyA'!E25</f>
        <v>0.05</v>
      </c>
      <c r="AC26" s="790">
        <f>'CUADRO 8- IEPS TyA'!G25</f>
        <v>1711206.9337500003</v>
      </c>
      <c r="AD26" s="791">
        <f>'CUADRO 9 IEPS GyD '!D25</f>
        <v>34.475044032324909</v>
      </c>
      <c r="AE26" s="790">
        <f>'CUADRO 9 IEPS GyD '!E25</f>
        <v>27026884.428556666</v>
      </c>
      <c r="AF26" s="798">
        <f>'CUADRO 6 -FGP'!F25+'CUADRO 6 -FGP'!L25+'CUADRO 6 -FGP'!R25</f>
        <v>22.151634456873566</v>
      </c>
      <c r="AG26" s="793">
        <f>'CUADRO 13- Incentivo ISAN'!I24</f>
        <v>3620318.3968518744</v>
      </c>
      <c r="AH26" s="794">
        <f>'CUADRO 6 -FGP'!F25+'CUADRO 6 -FGP'!L25+'CUADRO 6 -FGP'!R25</f>
        <v>22.151634456873566</v>
      </c>
      <c r="AI26" s="795">
        <f>'CUADRO 12- FOCO ISAN'!I24</f>
        <v>722109.596195978</v>
      </c>
      <c r="AJ26" s="796">
        <f>ISR!S21</f>
        <v>26.859693</v>
      </c>
      <c r="AK26" s="799">
        <f>'CUADRO 21- ISR 2026'!O21</f>
        <v>56359004.858604394</v>
      </c>
      <c r="AL26" s="794">
        <f>'CUADRO 14 ISR Enaje'!T25</f>
        <v>22.151634456873566</v>
      </c>
      <c r="AM26" s="795">
        <f>'CUADRO 14 ISR Enaje'!S25</f>
        <v>8860653.7827494275</v>
      </c>
      <c r="AN26" s="24"/>
    </row>
    <row r="27" spans="1:40" ht="27" customHeight="1" x14ac:dyDescent="0.25">
      <c r="A27" s="25" t="s">
        <v>63</v>
      </c>
      <c r="B27" s="26">
        <v>3.79</v>
      </c>
      <c r="C27" s="27">
        <f>[1]Datos!I$13*B27%</f>
        <v>37010411.810190007</v>
      </c>
      <c r="D27" s="28">
        <f t="shared" si="0"/>
        <v>2.7677955057194654</v>
      </c>
      <c r="E27" s="32">
        <v>30030</v>
      </c>
      <c r="F27" s="30">
        <f t="shared" si="1"/>
        <v>2.7677955057194654</v>
      </c>
      <c r="G27" s="30">
        <f t="shared" si="2"/>
        <v>1.6606773034316793</v>
      </c>
      <c r="H27" s="31">
        <f>[1]Datos!$K$18*'CUADRO 5- Consolidado'!G27/100</f>
        <v>4641989.0777502144</v>
      </c>
      <c r="I27" s="28">
        <v>0.97075900000000004</v>
      </c>
      <c r="J27" s="28">
        <f t="shared" si="3"/>
        <v>4.5393049192703279</v>
      </c>
      <c r="K27" s="28">
        <f t="shared" si="4"/>
        <v>1.3617914757810983</v>
      </c>
      <c r="L27" s="32">
        <f>[1]Datos!$K$18*'CUADRO 5- Consolidado'!K27/100</f>
        <v>3806531.9154337854</v>
      </c>
      <c r="M27" s="33">
        <f t="shared" si="5"/>
        <v>8448520.9931840003</v>
      </c>
      <c r="N27" s="28">
        <f t="shared" si="6"/>
        <v>3.0224687792127778</v>
      </c>
      <c r="O27" s="28">
        <f t="shared" si="7"/>
        <v>0.33085536131177395</v>
      </c>
      <c r="P27" s="28">
        <f t="shared" si="8"/>
        <v>5.1914996538873615</v>
      </c>
      <c r="Q27" s="28">
        <f t="shared" si="9"/>
        <v>0.51914996538873615</v>
      </c>
      <c r="R27" s="34">
        <f>Q27*[1]Datos!$K$18/100</f>
        <v>1451147.9527473762</v>
      </c>
      <c r="S27" s="786">
        <f>'CUADRO 6 -FGP'!U26</f>
        <v>3.6736649788182838</v>
      </c>
      <c r="T27" s="787">
        <f>'CUADRO 6 -FGP'!T26</f>
        <v>82097301.866541147</v>
      </c>
      <c r="U27" s="788">
        <f>'CUADRO 7 FFM'!S26</f>
        <v>1.4693394851963877</v>
      </c>
      <c r="V27" s="789">
        <f>'CUADRO 7 FFM'!N26</f>
        <v>20.621156022481646</v>
      </c>
      <c r="W27" s="790">
        <f>'CUADRO 7 FFM'!Q26</f>
        <v>34027708.02921699</v>
      </c>
      <c r="X27" s="791">
        <f>'CUADRO10 -FOFIR'!I26</f>
        <v>6.4487434997038934E-2</v>
      </c>
      <c r="Y27" s="790">
        <f>'CUADRO10 -FOFIR'!K26</f>
        <v>1360840.2258587484</v>
      </c>
      <c r="Z27" s="940">
        <f>' CUADRO 11- FOCO'!D27+' CUADRO 11- FOCO'!G27</f>
        <v>2.931527964862414</v>
      </c>
      <c r="AA27" s="943">
        <f>' CUADRO 11- FOCO'!J27</f>
        <v>2017368.1341987271</v>
      </c>
      <c r="AB27" s="791">
        <f>'CUADRO 8- IEPS TyA'!E26</f>
        <v>0.05</v>
      </c>
      <c r="AC27" s="790">
        <f>'CUADRO 8- IEPS TyA'!G26</f>
        <v>2411946.9337500003</v>
      </c>
      <c r="AD27" s="791">
        <f>'CUADRO 9 IEPS GyD '!D26</f>
        <v>2.4334334852880231</v>
      </c>
      <c r="AE27" s="790">
        <f>'CUADRO 9 IEPS GyD '!E26</f>
        <v>1907702.4386043698</v>
      </c>
      <c r="AF27" s="798">
        <f>'CUADRO 6 -FGP'!F26+'CUADRO 6 -FGP'!L26+'CUADRO 6 -FGP'!R26</f>
        <v>3.6736649788182842</v>
      </c>
      <c r="AG27" s="793">
        <f>'CUADRO 13- Incentivo ISAN'!I25</f>
        <v>600399.80041108874</v>
      </c>
      <c r="AH27" s="794">
        <f>'CUADRO 6 -FGP'!F26+'CUADRO 6 -FGP'!L26+'CUADRO 6 -FGP'!R26</f>
        <v>3.6736649788182842</v>
      </c>
      <c r="AI27" s="795">
        <f>'CUADRO 12- FOCO ISAN'!I25</f>
        <v>119755.89158345952</v>
      </c>
      <c r="AJ27" s="796">
        <f>ISR!S22</f>
        <v>3.3401369999999999</v>
      </c>
      <c r="AK27" s="799">
        <f>'CUADRO 21- ISR 2026'!O22</f>
        <v>7277315.7931331703</v>
      </c>
      <c r="AL27" s="794">
        <f>'CUADRO 14 ISR Enaje'!T26</f>
        <v>3.6736649788182842</v>
      </c>
      <c r="AM27" s="795">
        <f>'CUADRO 14 ISR Enaje'!S26</f>
        <v>1469465.9915273134</v>
      </c>
      <c r="AN27" s="24"/>
    </row>
    <row r="28" spans="1:40" ht="27" customHeight="1" thickBot="1" x14ac:dyDescent="0.3">
      <c r="A28" s="35" t="s">
        <v>64</v>
      </c>
      <c r="B28" s="36">
        <v>3.1</v>
      </c>
      <c r="C28" s="37">
        <f>[1]Datos!I$13*B28%</f>
        <v>30272368.4991</v>
      </c>
      <c r="D28" s="38">
        <f t="shared" si="0"/>
        <v>4.5256175465147246</v>
      </c>
      <c r="E28" s="39">
        <v>49102</v>
      </c>
      <c r="F28" s="40">
        <f t="shared" si="1"/>
        <v>4.5256175465147246</v>
      </c>
      <c r="G28" s="40">
        <f t="shared" si="2"/>
        <v>2.7153705279088345</v>
      </c>
      <c r="H28" s="41">
        <f>[1]Datos!$K$18*'CUADRO 5- Consolidado'!G28/100</f>
        <v>7590108.1483746581</v>
      </c>
      <c r="I28" s="38">
        <v>1.0003390000000001</v>
      </c>
      <c r="J28" s="38">
        <f t="shared" si="3"/>
        <v>4.6776220912069428</v>
      </c>
      <c r="K28" s="38">
        <f t="shared" si="4"/>
        <v>1.4032866273620828</v>
      </c>
      <c r="L28" s="39">
        <f>[1]Datos!$K$18*'CUADRO 5- Consolidado'!K28/100</f>
        <v>3922520.7592750802</v>
      </c>
      <c r="M28" s="42">
        <f t="shared" si="5"/>
        <v>11512628.907649739</v>
      </c>
      <c r="N28" s="38">
        <f t="shared" si="6"/>
        <v>4.1186571552709168</v>
      </c>
      <c r="O28" s="38">
        <f t="shared" si="7"/>
        <v>0.24279758239168661</v>
      </c>
      <c r="P28" s="38">
        <f t="shared" si="8"/>
        <v>3.80977222177561</v>
      </c>
      <c r="Q28" s="38">
        <f t="shared" si="9"/>
        <v>0.38097722217756103</v>
      </c>
      <c r="R28" s="43">
        <f>Q28*[1]Datos!$K$18/100</f>
        <v>1064922.1860053025</v>
      </c>
      <c r="S28" s="786">
        <f>'CUADRO 6 -FGP'!U27</f>
        <v>5.0454269348050316</v>
      </c>
      <c r="T28" s="787">
        <f>'CUADRO 6 -FGP'!T27</f>
        <v>92194892.955884323</v>
      </c>
      <c r="U28" s="788">
        <f>'CUADRO 7 FFM'!S27</f>
        <v>5.3366448851740156</v>
      </c>
      <c r="V28" s="789">
        <f>'CUADRO 7 FFM'!N27</f>
        <v>0</v>
      </c>
      <c r="W28" s="790">
        <f>'CUADRO 7 FFM'!Q27</f>
        <v>22538570.722377583</v>
      </c>
      <c r="X28" s="800">
        <f>'CUADRO10 -FOFIR'!I27</f>
        <v>1.4936210577830709</v>
      </c>
      <c r="Y28" s="801">
        <f>'CUADRO10 -FOFIR'!K27</f>
        <v>2883055.0890883682</v>
      </c>
      <c r="Z28" s="940">
        <f>' CUADRO 11- FOCO'!D28+' CUADRO 11- FOCO'!G28</f>
        <v>4.2618673965262408</v>
      </c>
      <c r="AA28" s="944">
        <f>' CUADRO 11- FOCO'!J28</f>
        <v>2932858.0798089192</v>
      </c>
      <c r="AB28" s="800">
        <f>'CUADRO 8- IEPS TyA'!E27</f>
        <v>0.05</v>
      </c>
      <c r="AC28" s="790">
        <f>'CUADRO 8- IEPS TyA'!G27</f>
        <v>2583009.9337500003</v>
      </c>
      <c r="AD28" s="800">
        <f>'CUADRO 9 IEPS GyD '!D27</f>
        <v>5.2797509583506006</v>
      </c>
      <c r="AE28" s="790">
        <f>'CUADRO 9 IEPS GyD '!E27</f>
        <v>4139087.3592244685</v>
      </c>
      <c r="AF28" s="802">
        <f>'CUADRO 6 -FGP'!F27+'CUADRO 6 -FGP'!L27+'CUADRO 6 -FGP'!R27</f>
        <v>5.0454269348050316</v>
      </c>
      <c r="AG28" s="793">
        <f>'CUADRO 13- Incentivo ISAN'!I26</f>
        <v>824591.61140494223</v>
      </c>
      <c r="AH28" s="794">
        <f>'CUADRO 6 -FGP'!F27+'CUADRO 6 -FGP'!L27+'CUADRO 6 -FGP'!R27</f>
        <v>5.0454269348050316</v>
      </c>
      <c r="AI28" s="795">
        <f>'CUADRO 12- FOCO ISAN'!I26</f>
        <v>164473.24524163295</v>
      </c>
      <c r="AJ28" s="796">
        <f>ISR!S23</f>
        <v>6.8058959999999997</v>
      </c>
      <c r="AK28" s="803">
        <f>'CUADRO 21- ISR 2026'!O23</f>
        <v>14914539.716042342</v>
      </c>
      <c r="AL28" s="794">
        <f>'CUADRO 14 ISR Enaje'!T27</f>
        <v>5.0454269348050316</v>
      </c>
      <c r="AM28" s="795">
        <f>'CUADRO 14 ISR Enaje'!S27</f>
        <v>2018170.7739220127</v>
      </c>
      <c r="AN28" s="24"/>
    </row>
    <row r="29" spans="1:40" ht="15.75" thickBot="1" x14ac:dyDescent="0.3">
      <c r="A29" s="44" t="s">
        <v>65</v>
      </c>
      <c r="B29" s="45">
        <f>SUM(B9:B28)</f>
        <v>100</v>
      </c>
      <c r="C29" s="46">
        <f>SUM(C9:C28)</f>
        <v>976528016.0999999</v>
      </c>
      <c r="D29" s="47">
        <f>SUM(D9:D28)</f>
        <v>99.999999999999986</v>
      </c>
      <c r="E29" s="48">
        <f>SUM(E9:E28)</f>
        <v>1084979</v>
      </c>
      <c r="F29" s="49">
        <f t="shared" si="1"/>
        <v>99.999999999999986</v>
      </c>
      <c r="G29" s="49">
        <f t="shared" ref="G29:L29" si="10">SUM(G9:G28)</f>
        <v>59.999999999999993</v>
      </c>
      <c r="H29" s="50">
        <f t="shared" si="10"/>
        <v>167714307.94499996</v>
      </c>
      <c r="I29" s="51">
        <f t="shared" si="10"/>
        <v>21.385630999999997</v>
      </c>
      <c r="J29" s="52">
        <f t="shared" si="10"/>
        <v>100.00000000000001</v>
      </c>
      <c r="K29" s="52">
        <f t="shared" si="10"/>
        <v>29.999999999999996</v>
      </c>
      <c r="L29" s="53">
        <f t="shared" si="10"/>
        <v>83857153.972500011</v>
      </c>
      <c r="M29" s="54">
        <f t="shared" si="5"/>
        <v>251571461.91749996</v>
      </c>
      <c r="N29" s="52">
        <f t="shared" ref="N29:T29" si="11">SUM(N9:N28)</f>
        <v>90</v>
      </c>
      <c r="O29" s="52">
        <f t="shared" si="11"/>
        <v>6.3730209644535289</v>
      </c>
      <c r="P29" s="52">
        <f t="shared" si="11"/>
        <v>100</v>
      </c>
      <c r="Q29" s="51">
        <f t="shared" si="11"/>
        <v>10.000000000000002</v>
      </c>
      <c r="R29" s="55">
        <f t="shared" si="11"/>
        <v>27952384.657499999</v>
      </c>
      <c r="S29" s="804">
        <f>SUM(S9:S28)</f>
        <v>100</v>
      </c>
      <c r="T29" s="805">
        <f t="shared" si="11"/>
        <v>2203828009.875</v>
      </c>
      <c r="U29" s="806">
        <v>100</v>
      </c>
      <c r="V29" s="807">
        <v>100</v>
      </c>
      <c r="W29" s="808">
        <f>SUM(W9:W28)</f>
        <v>676925979</v>
      </c>
      <c r="X29" s="809">
        <v>100</v>
      </c>
      <c r="Y29" s="808">
        <f t="shared" ref="Y29:AE29" si="12">SUM(Y9:Y28)</f>
        <v>103710483.89999999</v>
      </c>
      <c r="Z29" s="942">
        <f t="shared" si="12"/>
        <v>99.999999999999986</v>
      </c>
      <c r="AA29" s="808">
        <f t="shared" si="12"/>
        <v>68816267.774999991</v>
      </c>
      <c r="AB29" s="809">
        <v>100</v>
      </c>
      <c r="AC29" s="808">
        <f>SUM(AC9:AC28)</f>
        <v>53308998.675000034</v>
      </c>
      <c r="AD29" s="809">
        <v>99.999999999999986</v>
      </c>
      <c r="AE29" s="808">
        <f t="shared" si="12"/>
        <v>78395503.725000009</v>
      </c>
      <c r="AF29" s="809">
        <f>SUM(AF9:AF28)</f>
        <v>99.999999999999986</v>
      </c>
      <c r="AG29" s="808">
        <f>SUM(AG9:AG28)</f>
        <v>16343346.599999998</v>
      </c>
      <c r="AH29" s="810">
        <f>SUM(AH9:AH28)</f>
        <v>99.999999999999986</v>
      </c>
      <c r="AI29" s="811">
        <f>SUM(AI9:AI28)</f>
        <v>3259847.9250000003</v>
      </c>
      <c r="AJ29" s="812">
        <f t="shared" ref="AJ29" si="13">SUM(AJ9:AJ28)</f>
        <v>100.00000000000001</v>
      </c>
      <c r="AK29" s="811">
        <f>SUM(AK9:AK28)</f>
        <v>242082623.72000006</v>
      </c>
      <c r="AL29" s="810">
        <f>SUM(AL9:AL28)</f>
        <v>99.999999999999986</v>
      </c>
      <c r="AM29" s="811">
        <f>SUM(AM9:AM28)</f>
        <v>40000000</v>
      </c>
    </row>
    <row r="30" spans="1:40" x14ac:dyDescent="0.25">
      <c r="A30" s="8"/>
      <c r="B30" s="56"/>
      <c r="C30" s="8"/>
      <c r="D30" s="8"/>
      <c r="E30" s="8"/>
      <c r="F30" s="8"/>
      <c r="G30" s="8"/>
      <c r="H30" s="57"/>
    </row>
    <row r="31" spans="1:40" x14ac:dyDescent="0.25">
      <c r="A31" s="8"/>
      <c r="B31" s="8"/>
      <c r="C31" s="8"/>
      <c r="D31" s="8"/>
      <c r="E31" s="8"/>
      <c r="F31" s="8"/>
      <c r="G31" s="8"/>
      <c r="H31" s="57"/>
      <c r="T31" s="58"/>
      <c r="U31" s="58"/>
      <c r="V31" s="58"/>
    </row>
    <row r="34" spans="24:30" x14ac:dyDescent="0.25">
      <c r="X34" t="s">
        <v>306</v>
      </c>
      <c r="AC34" s="169"/>
      <c r="AD34" s="169"/>
    </row>
    <row r="35" spans="24:30" x14ac:dyDescent="0.25">
      <c r="AC35" s="169"/>
      <c r="AD35" s="169"/>
    </row>
    <row r="36" spans="24:30" x14ac:dyDescent="0.25">
      <c r="AC36" s="169"/>
      <c r="AD36" s="169"/>
    </row>
    <row r="37" spans="24:30" x14ac:dyDescent="0.25">
      <c r="AC37" s="169"/>
      <c r="AD37" s="169"/>
    </row>
    <row r="38" spans="24:30" x14ac:dyDescent="0.25">
      <c r="AC38" s="169"/>
      <c r="AD38" s="169"/>
    </row>
    <row r="39" spans="24:30" x14ac:dyDescent="0.25">
      <c r="AC39" s="169"/>
      <c r="AD39" s="169"/>
    </row>
    <row r="40" spans="24:30" x14ac:dyDescent="0.25">
      <c r="AC40" s="169"/>
      <c r="AD40" s="169"/>
    </row>
    <row r="41" spans="24:30" x14ac:dyDescent="0.25">
      <c r="AC41" s="169"/>
      <c r="AD41" s="169"/>
    </row>
    <row r="42" spans="24:30" x14ac:dyDescent="0.25">
      <c r="AC42" s="169"/>
      <c r="AD42" s="169"/>
    </row>
    <row r="43" spans="24:30" x14ac:dyDescent="0.25">
      <c r="AC43" s="169"/>
      <c r="AD43" s="169"/>
    </row>
    <row r="44" spans="24:30" x14ac:dyDescent="0.25">
      <c r="AC44" s="169"/>
      <c r="AD44" s="169"/>
    </row>
    <row r="45" spans="24:30" x14ac:dyDescent="0.25">
      <c r="AC45" s="169"/>
      <c r="AD45" s="169"/>
    </row>
    <row r="46" spans="24:30" x14ac:dyDescent="0.25">
      <c r="AC46" s="169"/>
      <c r="AD46" s="169"/>
    </row>
    <row r="47" spans="24:30" x14ac:dyDescent="0.25">
      <c r="AC47" s="169"/>
      <c r="AD47" s="169"/>
    </row>
    <row r="48" spans="24:30" x14ac:dyDescent="0.25">
      <c r="AC48" s="169"/>
      <c r="AD48" s="169"/>
    </row>
    <row r="49" spans="29:30" x14ac:dyDescent="0.25">
      <c r="AC49" s="169"/>
      <c r="AD49" s="169"/>
    </row>
    <row r="50" spans="29:30" x14ac:dyDescent="0.25">
      <c r="AC50" s="169"/>
      <c r="AD50" s="169"/>
    </row>
    <row r="51" spans="29:30" x14ac:dyDescent="0.25">
      <c r="AC51" s="169"/>
      <c r="AD51" s="169"/>
    </row>
    <row r="52" spans="29:30" x14ac:dyDescent="0.25">
      <c r="AC52" s="169"/>
      <c r="AD52" s="169"/>
    </row>
    <row r="53" spans="29:30" x14ac:dyDescent="0.25">
      <c r="AC53" s="169"/>
      <c r="AD53" s="169"/>
    </row>
    <row r="54" spans="29:30" x14ac:dyDescent="0.25">
      <c r="AC54" s="169"/>
      <c r="AD54" s="169"/>
    </row>
    <row r="55" spans="29:30" x14ac:dyDescent="0.25">
      <c r="AC55" s="169"/>
    </row>
    <row r="56" spans="29:30" x14ac:dyDescent="0.25">
      <c r="AC56" s="169"/>
    </row>
    <row r="57" spans="29:30" x14ac:dyDescent="0.25">
      <c r="AC57" s="169"/>
    </row>
    <row r="58" spans="29:30" x14ac:dyDescent="0.25">
      <c r="AC58" s="169"/>
    </row>
    <row r="59" spans="29:30" x14ac:dyDescent="0.25">
      <c r="AC59" s="169"/>
    </row>
    <row r="60" spans="29:30" x14ac:dyDescent="0.25">
      <c r="AC60" s="169"/>
    </row>
    <row r="61" spans="29:30" x14ac:dyDescent="0.25">
      <c r="AC61" s="169"/>
    </row>
    <row r="62" spans="29:30" x14ac:dyDescent="0.25">
      <c r="AC62" s="169"/>
    </row>
    <row r="63" spans="29:30" x14ac:dyDescent="0.25">
      <c r="AC63" s="169"/>
    </row>
    <row r="64" spans="29:30" x14ac:dyDescent="0.25">
      <c r="AC64" s="169"/>
    </row>
    <row r="65" spans="29:29" x14ac:dyDescent="0.25">
      <c r="AC65" s="169"/>
    </row>
    <row r="66" spans="29:29" x14ac:dyDescent="0.25">
      <c r="AC66" s="169"/>
    </row>
    <row r="67" spans="29:29" x14ac:dyDescent="0.25">
      <c r="AC67" s="169"/>
    </row>
    <row r="68" spans="29:29" x14ac:dyDescent="0.25">
      <c r="AC68" s="169"/>
    </row>
    <row r="69" spans="29:29" x14ac:dyDescent="0.25">
      <c r="AC69" s="169"/>
    </row>
    <row r="70" spans="29:29" x14ac:dyDescent="0.25">
      <c r="AC70" s="169"/>
    </row>
    <row r="71" spans="29:29" x14ac:dyDescent="0.25">
      <c r="AC71" s="169"/>
    </row>
    <row r="72" spans="29:29" x14ac:dyDescent="0.25">
      <c r="AC72" s="169"/>
    </row>
    <row r="73" spans="29:29" x14ac:dyDescent="0.25">
      <c r="AC73" s="169"/>
    </row>
    <row r="74" spans="29:29" x14ac:dyDescent="0.25">
      <c r="AC74" s="169"/>
    </row>
    <row r="75" spans="29:29" x14ac:dyDescent="0.25">
      <c r="AC75" s="169"/>
    </row>
    <row r="76" spans="29:29" x14ac:dyDescent="0.25">
      <c r="AC76" s="169"/>
    </row>
    <row r="77" spans="29:29" x14ac:dyDescent="0.25">
      <c r="AC77" s="169"/>
    </row>
    <row r="78" spans="29:29" x14ac:dyDescent="0.25">
      <c r="AC78" s="169"/>
    </row>
    <row r="79" spans="29:29" x14ac:dyDescent="0.25">
      <c r="AC79" s="169"/>
    </row>
    <row r="80" spans="29:29" x14ac:dyDescent="0.25">
      <c r="AC80" s="169"/>
    </row>
    <row r="81" spans="29:29" x14ac:dyDescent="0.25">
      <c r="AC81" s="169"/>
    </row>
    <row r="82" spans="29:29" x14ac:dyDescent="0.25">
      <c r="AC82" s="169"/>
    </row>
    <row r="83" spans="29:29" x14ac:dyDescent="0.25">
      <c r="AC83" s="169"/>
    </row>
    <row r="84" spans="29:29" x14ac:dyDescent="0.25">
      <c r="AC84" s="169"/>
    </row>
    <row r="85" spans="29:29" x14ac:dyDescent="0.25">
      <c r="AC85" s="169"/>
    </row>
    <row r="86" spans="29:29" x14ac:dyDescent="0.25">
      <c r="AC86" s="169"/>
    </row>
    <row r="87" spans="29:29" x14ac:dyDescent="0.25">
      <c r="AC87" s="169"/>
    </row>
  </sheetData>
  <mergeCells count="45">
    <mergeCell ref="A1:AM1"/>
    <mergeCell ref="AH4:AI4"/>
    <mergeCell ref="B5:B7"/>
    <mergeCell ref="E5:H5"/>
    <mergeCell ref="I5:L5"/>
    <mergeCell ref="M5:M8"/>
    <mergeCell ref="AC5:AC7"/>
    <mergeCell ref="AE5:AE7"/>
    <mergeCell ref="AI5:AI7"/>
    <mergeCell ref="D6:E6"/>
    <mergeCell ref="I6:I7"/>
    <mergeCell ref="J6:J7"/>
    <mergeCell ref="L6:L7"/>
    <mergeCell ref="N6:N8"/>
    <mergeCell ref="D7:E7"/>
    <mergeCell ref="N5:R5"/>
    <mergeCell ref="AL4:AM4"/>
    <mergeCell ref="AL5:AL8"/>
    <mergeCell ref="AM5:AM7"/>
    <mergeCell ref="X5:X8"/>
    <mergeCell ref="AB5:AB8"/>
    <mergeCell ref="AD5:AD8"/>
    <mergeCell ref="AF5:AF8"/>
    <mergeCell ref="AH5:AH8"/>
    <mergeCell ref="AF4:AG4"/>
    <mergeCell ref="AG5:AG7"/>
    <mergeCell ref="AJ4:AK4"/>
    <mergeCell ref="AJ5:AJ8"/>
    <mergeCell ref="AK5:AK7"/>
    <mergeCell ref="AB4:AC4"/>
    <mergeCell ref="AD4:AE4"/>
    <mergeCell ref="Z4:AA4"/>
    <mergeCell ref="Z5:Z8"/>
    <mergeCell ref="AA5:AA7"/>
    <mergeCell ref="A3:T3"/>
    <mergeCell ref="A4:A8"/>
    <mergeCell ref="S4:T4"/>
    <mergeCell ref="U4:W4"/>
    <mergeCell ref="X4:Y4"/>
    <mergeCell ref="W5:W7"/>
    <mergeCell ref="Y5:Y7"/>
    <mergeCell ref="S5:S8"/>
    <mergeCell ref="U5:U8"/>
    <mergeCell ref="T5:T7"/>
    <mergeCell ref="V5:V8"/>
  </mergeCells>
  <pageMargins left="0.61" right="0.6" top="0.74803149606299213" bottom="0.74803149606299213" header="0.31496062992125984" footer="0.31496062992125984"/>
  <pageSetup paperSize="5" scale="53"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theme="3" tint="0.79998168889431442"/>
    <pageSetUpPr fitToPage="1"/>
  </sheetPr>
  <dimension ref="B2:N56"/>
  <sheetViews>
    <sheetView zoomScaleNormal="100" workbookViewId="0">
      <selection activeCell="K21" sqref="K21"/>
    </sheetView>
  </sheetViews>
  <sheetFormatPr baseColWidth="10" defaultRowHeight="15" x14ac:dyDescent="0.25"/>
  <cols>
    <col min="1" max="1" width="3.5703125" customWidth="1"/>
    <col min="2" max="2" width="24.28515625" customWidth="1"/>
    <col min="3" max="3" width="15.85546875" customWidth="1"/>
    <col min="4" max="4" width="13.42578125" customWidth="1"/>
    <col min="5" max="6" width="15.7109375" customWidth="1"/>
    <col min="7" max="7" width="17.85546875" customWidth="1"/>
    <col min="8" max="8" width="19.28515625" customWidth="1"/>
    <col min="9" max="9" width="15.42578125" customWidth="1"/>
    <col min="10" max="11" width="12.42578125" bestFit="1" customWidth="1"/>
  </cols>
  <sheetData>
    <row r="2" spans="2:9" x14ac:dyDescent="0.25">
      <c r="B2" s="8"/>
      <c r="C2" s="8"/>
      <c r="D2" s="8"/>
      <c r="F2" s="200"/>
      <c r="G2" s="200" t="s">
        <v>194</v>
      </c>
    </row>
    <row r="3" spans="2:9" x14ac:dyDescent="0.25">
      <c r="B3" s="967" t="s">
        <v>0</v>
      </c>
      <c r="C3" s="967"/>
      <c r="D3" s="967"/>
      <c r="E3" s="967"/>
      <c r="F3" s="967"/>
      <c r="G3" s="967"/>
    </row>
    <row r="4" spans="2:9" x14ac:dyDescent="0.25">
      <c r="B4" s="1318" t="s">
        <v>195</v>
      </c>
      <c r="C4" s="1318"/>
      <c r="D4" s="1318"/>
      <c r="E4" s="1318"/>
      <c r="F4" s="1318"/>
      <c r="G4" s="1318"/>
      <c r="H4" s="219"/>
      <c r="I4" s="219"/>
    </row>
    <row r="5" spans="2:9" ht="15" customHeight="1" x14ac:dyDescent="0.25">
      <c r="B5" s="1319" t="s">
        <v>83</v>
      </c>
      <c r="C5" s="1089" t="s">
        <v>25</v>
      </c>
      <c r="D5" s="86"/>
      <c r="E5" s="1319" t="s">
        <v>26</v>
      </c>
      <c r="F5" s="220"/>
      <c r="G5" s="1319" t="s">
        <v>27</v>
      </c>
    </row>
    <row r="6" spans="2:9" ht="28.5" customHeight="1" x14ac:dyDescent="0.25">
      <c r="B6" s="1129"/>
      <c r="C6" s="1321"/>
      <c r="D6" s="13"/>
      <c r="E6" s="1129"/>
      <c r="F6" s="221"/>
      <c r="G6" s="1129"/>
    </row>
    <row r="7" spans="2:9" x14ac:dyDescent="0.25">
      <c r="B7" s="1129"/>
      <c r="C7" s="13" t="s">
        <v>196</v>
      </c>
      <c r="D7" s="13"/>
      <c r="E7" s="215"/>
      <c r="F7" s="215"/>
      <c r="G7" s="13" t="s">
        <v>41</v>
      </c>
    </row>
    <row r="8" spans="2:9" x14ac:dyDescent="0.25">
      <c r="B8" s="1320"/>
      <c r="C8" s="109" t="s">
        <v>70</v>
      </c>
      <c r="D8" s="109"/>
      <c r="E8" s="222" t="s">
        <v>197</v>
      </c>
      <c r="F8" s="215"/>
      <c r="G8" s="109" t="s">
        <v>198</v>
      </c>
    </row>
    <row r="9" spans="2:9" x14ac:dyDescent="0.25">
      <c r="B9" s="660" t="s">
        <v>45</v>
      </c>
      <c r="C9" s="661">
        <f>K36/H36</f>
        <v>0.91941028933069979</v>
      </c>
      <c r="D9" s="662"/>
      <c r="E9" s="663">
        <f>C9/C$29%</f>
        <v>4.1362136121224466</v>
      </c>
      <c r="F9" s="663">
        <f>E9*0.3</f>
        <v>1.2408640836367339</v>
      </c>
      <c r="G9" s="664">
        <f>Datos!$I$16*'FGP 30%'!E9%</f>
        <v>15229124.821229847</v>
      </c>
      <c r="H9" s="223"/>
      <c r="I9" s="224"/>
    </row>
    <row r="10" spans="2:9" x14ac:dyDescent="0.25">
      <c r="B10" s="665" t="s">
        <v>46</v>
      </c>
      <c r="C10" s="666">
        <f t="shared" ref="C10:C28" si="0">K37/H37</f>
        <v>1.072013638864687</v>
      </c>
      <c r="D10" s="667"/>
      <c r="E10" s="668">
        <f t="shared" ref="E10:E28" si="1">C10/C$29%</f>
        <v>4.8227406816176668</v>
      </c>
      <c r="F10" s="668">
        <f t="shared" ref="F10:F28" si="2">E10*0.3</f>
        <v>1.4468222044853001</v>
      </c>
      <c r="G10" s="345">
        <f>Datos!$I$16*'FGP 30%'!E10%</f>
        <v>17756848.825583406</v>
      </c>
      <c r="H10" s="223"/>
      <c r="I10" s="224"/>
    </row>
    <row r="11" spans="2:9" x14ac:dyDescent="0.25">
      <c r="B11" s="665" t="s">
        <v>47</v>
      </c>
      <c r="C11" s="666">
        <f t="shared" si="0"/>
        <v>0.94743275005076988</v>
      </c>
      <c r="D11" s="667"/>
      <c r="E11" s="668">
        <f t="shared" si="1"/>
        <v>4.2622801624107813</v>
      </c>
      <c r="F11" s="668">
        <f t="shared" si="2"/>
        <v>1.2786840487232343</v>
      </c>
      <c r="G11" s="345">
        <f>Datos!$I$16*'FGP 30%'!E11%</f>
        <v>15693289.250382174</v>
      </c>
      <c r="H11" s="223"/>
      <c r="I11" s="224"/>
    </row>
    <row r="12" spans="2:9" x14ac:dyDescent="0.25">
      <c r="B12" s="665" t="s">
        <v>48</v>
      </c>
      <c r="C12" s="666">
        <f t="shared" si="0"/>
        <v>1.162793906799712</v>
      </c>
      <c r="D12" s="667"/>
      <c r="E12" s="668">
        <f t="shared" si="1"/>
        <v>5.2311400483664494</v>
      </c>
      <c r="F12" s="668">
        <f t="shared" si="2"/>
        <v>1.5693420145099348</v>
      </c>
      <c r="G12" s="345">
        <f>Datos!$I$16*'FGP 30%'!E12%</f>
        <v>19260534.446388889</v>
      </c>
      <c r="H12" s="223"/>
      <c r="I12" s="225"/>
    </row>
    <row r="13" spans="2:9" x14ac:dyDescent="0.25">
      <c r="B13" s="665" t="s">
        <v>49</v>
      </c>
      <c r="C13" s="666">
        <f t="shared" si="0"/>
        <v>1.1937720741221365</v>
      </c>
      <c r="D13" s="667"/>
      <c r="E13" s="668">
        <f t="shared" si="1"/>
        <v>5.3705036370107484</v>
      </c>
      <c r="F13" s="668">
        <f t="shared" si="2"/>
        <v>1.6111510911032245</v>
      </c>
      <c r="G13" s="345">
        <f>Datos!$I$16*'FGP 30%'!E13%</f>
        <v>19773657.240815718</v>
      </c>
      <c r="H13" s="223"/>
      <c r="I13" s="225"/>
    </row>
    <row r="14" spans="2:9" x14ac:dyDescent="0.25">
      <c r="B14" s="665" t="s">
        <v>50</v>
      </c>
      <c r="C14" s="666">
        <f t="shared" si="0"/>
        <v>1.9565053033073829</v>
      </c>
      <c r="D14" s="667"/>
      <c r="E14" s="668">
        <f t="shared" si="1"/>
        <v>8.8018635005932371</v>
      </c>
      <c r="F14" s="668">
        <f t="shared" si="2"/>
        <v>2.6405590501779712</v>
      </c>
      <c r="G14" s="345">
        <f>Datos!$I$16*'FGP 30%'!E14%</f>
        <v>32407581.058459442</v>
      </c>
      <c r="H14" s="223"/>
      <c r="I14" s="224"/>
    </row>
    <row r="15" spans="2:9" x14ac:dyDescent="0.25">
      <c r="B15" s="665" t="s">
        <v>51</v>
      </c>
      <c r="C15" s="666">
        <f t="shared" si="0"/>
        <v>0.97348905410236375</v>
      </c>
      <c r="D15" s="667"/>
      <c r="E15" s="668">
        <f t="shared" si="1"/>
        <v>4.3795014299454964</v>
      </c>
      <c r="F15" s="668">
        <f t="shared" si="2"/>
        <v>1.3138504289836488</v>
      </c>
      <c r="G15" s="345">
        <f>Datos!$I$16*'FGP 30%'!E15%</f>
        <v>16124886.233129133</v>
      </c>
      <c r="H15" s="223"/>
      <c r="I15" s="224"/>
    </row>
    <row r="16" spans="2:9" x14ac:dyDescent="0.25">
      <c r="B16" s="665" t="s">
        <v>52</v>
      </c>
      <c r="C16" s="666">
        <f t="shared" si="0"/>
        <v>0.98721684907868856</v>
      </c>
      <c r="D16" s="667"/>
      <c r="E16" s="668">
        <f t="shared" si="1"/>
        <v>4.4412595950480815</v>
      </c>
      <c r="F16" s="668">
        <f t="shared" si="2"/>
        <v>1.3323778785144245</v>
      </c>
      <c r="G16" s="345">
        <f>Datos!$I$16*'FGP 30%'!E16%</f>
        <v>16352273.62006701</v>
      </c>
      <c r="H16" s="223"/>
      <c r="I16" s="224"/>
    </row>
    <row r="17" spans="2:9" x14ac:dyDescent="0.25">
      <c r="B17" s="665" t="s">
        <v>53</v>
      </c>
      <c r="C17" s="666">
        <f t="shared" si="0"/>
        <v>0.97716872977331937</v>
      </c>
      <c r="D17" s="667"/>
      <c r="E17" s="668">
        <f t="shared" si="1"/>
        <v>4.3960554371988652</v>
      </c>
      <c r="F17" s="668">
        <f t="shared" si="2"/>
        <v>1.3188166311596594</v>
      </c>
      <c r="G17" s="345">
        <f>Datos!$I$16*'FGP 30%'!E17%</f>
        <v>16185836.432126166</v>
      </c>
      <c r="H17" s="223"/>
      <c r="I17" s="224"/>
    </row>
    <row r="18" spans="2:9" x14ac:dyDescent="0.25">
      <c r="B18" s="665" t="s">
        <v>54</v>
      </c>
      <c r="C18" s="666">
        <f t="shared" si="0"/>
        <v>0.95286267466706642</v>
      </c>
      <c r="D18" s="667"/>
      <c r="E18" s="668">
        <f t="shared" si="1"/>
        <v>4.2867081336564308</v>
      </c>
      <c r="F18" s="668">
        <f t="shared" si="2"/>
        <v>1.2860124400969293</v>
      </c>
      <c r="G18" s="345">
        <f>Datos!$I$16*'FGP 30%'!E18%</f>
        <v>15783230.597255336</v>
      </c>
      <c r="H18" s="223"/>
      <c r="I18" s="224"/>
    </row>
    <row r="19" spans="2:9" x14ac:dyDescent="0.25">
      <c r="B19" s="665" t="s">
        <v>55</v>
      </c>
      <c r="C19" s="666">
        <f t="shared" si="0"/>
        <v>1.1815955964977465</v>
      </c>
      <c r="D19" s="667"/>
      <c r="E19" s="668">
        <f t="shared" si="1"/>
        <v>5.3157244888087307</v>
      </c>
      <c r="F19" s="668">
        <f t="shared" si="2"/>
        <v>1.5947173466426192</v>
      </c>
      <c r="G19" s="345">
        <f>Datos!$I$16*'FGP 30%'!E19%</f>
        <v>19571965.89607371</v>
      </c>
      <c r="H19" s="223"/>
      <c r="I19" s="224"/>
    </row>
    <row r="20" spans="2:9" x14ac:dyDescent="0.25">
      <c r="B20" s="665" t="s">
        <v>56</v>
      </c>
      <c r="C20" s="666">
        <f t="shared" si="0"/>
        <v>0.909645893975224</v>
      </c>
      <c r="D20" s="667"/>
      <c r="E20" s="668">
        <f t="shared" si="1"/>
        <v>4.092285862507131</v>
      </c>
      <c r="F20" s="668">
        <f t="shared" si="2"/>
        <v>1.2276857587521393</v>
      </c>
      <c r="G20" s="345">
        <f>Datos!$I$16*'FGP 30%'!E20%</f>
        <v>15067387.240741566</v>
      </c>
      <c r="H20" s="223"/>
      <c r="I20" s="224"/>
    </row>
    <row r="21" spans="2:9" x14ac:dyDescent="0.25">
      <c r="B21" s="665" t="s">
        <v>57</v>
      </c>
      <c r="C21" s="666">
        <f t="shared" si="0"/>
        <v>1.0586792888614613</v>
      </c>
      <c r="D21" s="667"/>
      <c r="E21" s="668">
        <f t="shared" si="1"/>
        <v>4.7627525341799251</v>
      </c>
      <c r="F21" s="668">
        <f t="shared" si="2"/>
        <v>1.4288257602539776</v>
      </c>
      <c r="G21" s="345">
        <f>Datos!$I$16*'FGP 30%'!E21%</f>
        <v>17535978.466652662</v>
      </c>
      <c r="H21" s="223"/>
      <c r="I21" s="225"/>
    </row>
    <row r="22" spans="2:9" x14ac:dyDescent="0.25">
      <c r="B22" s="665" t="s">
        <v>58</v>
      </c>
      <c r="C22" s="666">
        <f t="shared" si="0"/>
        <v>1.0283392781079534</v>
      </c>
      <c r="D22" s="667"/>
      <c r="E22" s="668">
        <f t="shared" si="1"/>
        <v>4.626259863903246</v>
      </c>
      <c r="F22" s="668">
        <f t="shared" si="2"/>
        <v>1.3878779591709738</v>
      </c>
      <c r="G22" s="345">
        <f>Datos!$I$16*'FGP 30%'!E22%</f>
        <v>17033426.106509957</v>
      </c>
      <c r="H22" s="223"/>
      <c r="I22" s="224"/>
    </row>
    <row r="23" spans="2:9" x14ac:dyDescent="0.25">
      <c r="B23" s="665" t="s">
        <v>59</v>
      </c>
      <c r="C23" s="666">
        <f t="shared" si="0"/>
        <v>0.88510234571894353</v>
      </c>
      <c r="D23" s="667"/>
      <c r="E23" s="668">
        <f t="shared" si="1"/>
        <v>3.9818701323750343</v>
      </c>
      <c r="F23" s="668">
        <f t="shared" si="2"/>
        <v>1.1945610397125102</v>
      </c>
      <c r="G23" s="345">
        <f>Datos!$I$16*'FGP 30%'!E23%</f>
        <v>14660847.566030214</v>
      </c>
      <c r="H23" s="223"/>
      <c r="I23" s="224"/>
    </row>
    <row r="24" spans="2:9" x14ac:dyDescent="0.25">
      <c r="B24" s="665" t="s">
        <v>60</v>
      </c>
      <c r="C24" s="666">
        <f t="shared" si="0"/>
        <v>1.665751583657701</v>
      </c>
      <c r="D24" s="667"/>
      <c r="E24" s="668">
        <f t="shared" si="1"/>
        <v>7.4938299632856271</v>
      </c>
      <c r="F24" s="668">
        <f t="shared" si="2"/>
        <v>2.248148988985688</v>
      </c>
      <c r="G24" s="345">
        <f>Datos!$I$16*'FGP 30%'!E24%</f>
        <v>27591532.401874073</v>
      </c>
      <c r="H24" s="223"/>
      <c r="I24" s="225"/>
    </row>
    <row r="25" spans="2:9" x14ac:dyDescent="0.25">
      <c r="B25" s="665" t="s">
        <v>61</v>
      </c>
      <c r="C25" s="666">
        <f t="shared" si="0"/>
        <v>0.86663354684643568</v>
      </c>
      <c r="D25" s="667"/>
      <c r="E25" s="668">
        <f t="shared" si="1"/>
        <v>3.8987832905346753</v>
      </c>
      <c r="F25" s="668">
        <f t="shared" si="2"/>
        <v>1.1696349871604026</v>
      </c>
      <c r="G25" s="345">
        <f>Datos!$I$16*'FGP 30%'!E25%</f>
        <v>14354930.124609845</v>
      </c>
      <c r="H25" s="223"/>
      <c r="I25" s="224"/>
    </row>
    <row r="26" spans="2:9" x14ac:dyDescent="0.25">
      <c r="B26" s="665" t="s">
        <v>62</v>
      </c>
      <c r="C26" s="666">
        <f t="shared" si="0"/>
        <v>1.0366295451109231</v>
      </c>
      <c r="D26" s="667"/>
      <c r="E26" s="668">
        <f t="shared" si="1"/>
        <v>4.6635558520205587</v>
      </c>
      <c r="F26" s="668">
        <f t="shared" si="2"/>
        <v>1.3990667556061676</v>
      </c>
      <c r="G26" s="345">
        <f>Datos!$I$16*'FGP 30%'!E26%</f>
        <v>17170746.204462588</v>
      </c>
      <c r="H26" s="223"/>
      <c r="I26" s="225"/>
    </row>
    <row r="27" spans="2:9" x14ac:dyDescent="0.25">
      <c r="B27" s="665" t="s">
        <v>63</v>
      </c>
      <c r="C27" s="666">
        <f t="shared" si="0"/>
        <v>1.2957367397794282</v>
      </c>
      <c r="D27" s="667"/>
      <c r="E27" s="668">
        <f t="shared" si="1"/>
        <v>5.8292190146189569</v>
      </c>
      <c r="F27" s="668">
        <f t="shared" si="2"/>
        <v>1.748765704385687</v>
      </c>
      <c r="G27" s="345">
        <f>Datos!$I$16*'FGP 30%'!E27%</f>
        <v>21462601.381064873</v>
      </c>
      <c r="H27" s="223"/>
      <c r="I27" s="224"/>
    </row>
    <row r="28" spans="2:9" x14ac:dyDescent="0.25">
      <c r="B28" s="669" t="s">
        <v>64</v>
      </c>
      <c r="C28" s="670">
        <f t="shared" si="0"/>
        <v>1.1575286234076076</v>
      </c>
      <c r="D28" s="671"/>
      <c r="E28" s="672">
        <f t="shared" si="1"/>
        <v>5.2074527597959053</v>
      </c>
      <c r="F28" s="672">
        <f t="shared" si="2"/>
        <v>1.5622358279387716</v>
      </c>
      <c r="G28" s="673">
        <f>Datos!$I$16*'FGP 30%'!E28%</f>
        <v>19173320.219043363</v>
      </c>
      <c r="H28" s="226"/>
      <c r="I28" s="224"/>
    </row>
    <row r="29" spans="2:9" x14ac:dyDescent="0.25">
      <c r="B29" s="115" t="s">
        <v>65</v>
      </c>
      <c r="C29" s="227">
        <f t="shared" ref="C29:E29" si="3">SUM(C9:C28)</f>
        <v>22.228307712060253</v>
      </c>
      <c r="D29" s="228"/>
      <c r="E29" s="229">
        <f t="shared" si="3"/>
        <v>100.00000000000001</v>
      </c>
      <c r="F29" s="230">
        <f>SUM(F9:F28)</f>
        <v>29.999999999999996</v>
      </c>
      <c r="G29" s="231">
        <f>SUM(G9:G28)</f>
        <v>368189998.13249993</v>
      </c>
    </row>
    <row r="30" spans="2:9" x14ac:dyDescent="0.25">
      <c r="B30" s="8"/>
      <c r="C30" s="8"/>
      <c r="D30" s="8"/>
    </row>
    <row r="31" spans="2:9" x14ac:dyDescent="0.25">
      <c r="B31" s="8" t="s">
        <v>187</v>
      </c>
      <c r="C31" s="8"/>
      <c r="D31" s="8"/>
    </row>
    <row r="33" spans="2:14" ht="15.75" thickBot="1" x14ac:dyDescent="0.3"/>
    <row r="34" spans="2:14" x14ac:dyDescent="0.25">
      <c r="B34" s="1316" t="s">
        <v>13</v>
      </c>
      <c r="C34" s="204"/>
      <c r="D34" s="203"/>
      <c r="E34" s="203"/>
      <c r="F34" s="976">
        <v>2019</v>
      </c>
      <c r="G34" s="977"/>
      <c r="H34" s="1317"/>
      <c r="I34" s="976">
        <v>2020</v>
      </c>
      <c r="J34" s="977"/>
      <c r="K34" s="978"/>
      <c r="L34" s="57"/>
      <c r="M34" s="57"/>
      <c r="N34" s="57"/>
    </row>
    <row r="35" spans="2:14" ht="15.75" thickBot="1" x14ac:dyDescent="0.3">
      <c r="B35" s="1316"/>
      <c r="C35" s="201"/>
      <c r="D35" s="201"/>
      <c r="E35" s="201"/>
      <c r="F35" s="147" t="s">
        <v>240</v>
      </c>
      <c r="G35" s="143" t="s">
        <v>247</v>
      </c>
      <c r="H35" s="143" t="s">
        <v>82</v>
      </c>
      <c r="I35" s="147" t="s">
        <v>240</v>
      </c>
      <c r="J35" s="143" t="s">
        <v>247</v>
      </c>
      <c r="K35" s="390" t="s">
        <v>82</v>
      </c>
      <c r="L35" s="57"/>
      <c r="M35" s="57"/>
      <c r="N35" s="57"/>
    </row>
    <row r="36" spans="2:14" x14ac:dyDescent="0.25">
      <c r="B36" s="32" t="s">
        <v>140</v>
      </c>
      <c r="C36" s="198"/>
      <c r="D36" s="32"/>
      <c r="E36" s="34"/>
      <c r="F36" s="654">
        <f>'CUADRO 2 -Predial y Agua'!B6</f>
        <v>4847909</v>
      </c>
      <c r="G36" s="648">
        <f>'CUADRO 2 -Predial y Agua'!C6</f>
        <v>8076022</v>
      </c>
      <c r="H36" s="649">
        <f t="shared" ref="H36:H55" si="4">F36+G36</f>
        <v>12923931</v>
      </c>
      <c r="I36" s="654">
        <f>'CUADRO 2 -Predial y Agua'!E6</f>
        <v>4605759.3499999996</v>
      </c>
      <c r="J36" s="648">
        <f>'CUADRO 2 -Predial y Agua'!F6</f>
        <v>7276635.79</v>
      </c>
      <c r="K36" s="649">
        <f t="shared" ref="K36:K55" si="5">I36+J36</f>
        <v>11882395.140000001</v>
      </c>
    </row>
    <row r="37" spans="2:14" x14ac:dyDescent="0.25">
      <c r="B37" s="32" t="s">
        <v>141</v>
      </c>
      <c r="C37" s="198"/>
      <c r="D37" s="32"/>
      <c r="E37" s="34"/>
      <c r="F37" s="655">
        <f>'CUADRO 2 -Predial y Agua'!B7</f>
        <v>4069961</v>
      </c>
      <c r="G37" s="447">
        <f>'CUADRO 2 -Predial y Agua'!C7</f>
        <v>3268773</v>
      </c>
      <c r="H37" s="650">
        <f t="shared" si="4"/>
        <v>7338734</v>
      </c>
      <c r="I37" s="655">
        <f>'CUADRO 2 -Predial y Agua'!E7</f>
        <v>3447723.58</v>
      </c>
      <c r="J37" s="447">
        <f>'CUADRO 2 -Predial y Agua'!F7</f>
        <v>4419499.3600000003</v>
      </c>
      <c r="K37" s="650">
        <f t="shared" si="5"/>
        <v>7867222.9400000004</v>
      </c>
    </row>
    <row r="38" spans="2:14" x14ac:dyDescent="0.25">
      <c r="B38" s="32" t="s">
        <v>142</v>
      </c>
      <c r="C38" s="198"/>
      <c r="D38" s="32"/>
      <c r="E38" s="34"/>
      <c r="F38" s="655">
        <f>'CUADRO 2 -Predial y Agua'!B8</f>
        <v>2470240</v>
      </c>
      <c r="G38" s="447">
        <f>'CUADRO 2 -Predial y Agua'!C8</f>
        <v>1306603</v>
      </c>
      <c r="H38" s="650">
        <f t="shared" si="4"/>
        <v>3776843</v>
      </c>
      <c r="I38" s="655">
        <f>'CUADRO 2 -Predial y Agua'!E8</f>
        <v>2151486.69</v>
      </c>
      <c r="J38" s="447">
        <f>'CUADRO 2 -Predial y Agua'!F8</f>
        <v>1426818.06</v>
      </c>
      <c r="K38" s="650">
        <f t="shared" si="5"/>
        <v>3578304.75</v>
      </c>
    </row>
    <row r="39" spans="2:14" x14ac:dyDescent="0.25">
      <c r="B39" s="32" t="s">
        <v>143</v>
      </c>
      <c r="C39" s="198"/>
      <c r="D39" s="32"/>
      <c r="E39" s="34"/>
      <c r="F39" s="655">
        <f>'CUADRO 2 -Predial y Agua'!B9</f>
        <v>216507670</v>
      </c>
      <c r="G39" s="447">
        <f>'CUADRO 2 -Predial y Agua'!C9</f>
        <v>170424761</v>
      </c>
      <c r="H39" s="650">
        <f t="shared" si="4"/>
        <v>386932431</v>
      </c>
      <c r="I39" s="655">
        <f>'CUADRO 2 -Predial y Agua'!E9</f>
        <v>276615269.01999998</v>
      </c>
      <c r="J39" s="447">
        <f>'CUADRO 2 -Predial y Agua'!F9</f>
        <v>173307404.09</v>
      </c>
      <c r="K39" s="650">
        <f t="shared" si="5"/>
        <v>449922673.11000001</v>
      </c>
    </row>
    <row r="40" spans="2:14" x14ac:dyDescent="0.25">
      <c r="B40" s="32" t="s">
        <v>144</v>
      </c>
      <c r="C40" s="198"/>
      <c r="D40" s="32"/>
      <c r="E40" s="34"/>
      <c r="F40" s="655">
        <f>'CUADRO 2 -Predial y Agua'!B10</f>
        <v>25326439</v>
      </c>
      <c r="G40" s="447">
        <f>'CUADRO 2 -Predial y Agua'!C10</f>
        <v>43169320</v>
      </c>
      <c r="H40" s="650">
        <f t="shared" si="4"/>
        <v>68495759</v>
      </c>
      <c r="I40" s="655">
        <f>'CUADRO 2 -Predial y Agua'!E10</f>
        <v>33489222.780000001</v>
      </c>
      <c r="J40" s="447">
        <f>'CUADRO 2 -Predial y Agua'!F10</f>
        <v>48279101.509999998</v>
      </c>
      <c r="K40" s="650">
        <f t="shared" si="5"/>
        <v>81768324.289999992</v>
      </c>
    </row>
    <row r="41" spans="2:14" x14ac:dyDescent="0.25">
      <c r="B41" s="32" t="s">
        <v>145</v>
      </c>
      <c r="C41" s="198"/>
      <c r="D41" s="32"/>
      <c r="E41" s="34"/>
      <c r="F41" s="655">
        <f>'CUADRO 2 -Predial y Agua'!B11</f>
        <v>39812</v>
      </c>
      <c r="G41" s="447">
        <f>'CUADRO 2 -Predial y Agua'!C11</f>
        <v>36744</v>
      </c>
      <c r="H41" s="650">
        <f t="shared" si="4"/>
        <v>76556</v>
      </c>
      <c r="I41" s="655">
        <f>'CUADRO 2 -Predial y Agua'!E11</f>
        <v>97074.07</v>
      </c>
      <c r="J41" s="447">
        <f>'CUADRO 2 -Predial y Agua'!F11</f>
        <v>52708.15</v>
      </c>
      <c r="K41" s="650">
        <f t="shared" si="5"/>
        <v>149782.22</v>
      </c>
    </row>
    <row r="42" spans="2:14" x14ac:dyDescent="0.25">
      <c r="B42" s="32" t="s">
        <v>146</v>
      </c>
      <c r="C42" s="198"/>
      <c r="D42" s="32"/>
      <c r="E42" s="34"/>
      <c r="F42" s="655">
        <f>'CUADRO 2 -Predial y Agua'!B12</f>
        <v>19686</v>
      </c>
      <c r="G42" s="447">
        <f>'CUADRO 2 -Predial y Agua'!C12</f>
        <v>145353</v>
      </c>
      <c r="H42" s="650">
        <f t="shared" si="4"/>
        <v>165039</v>
      </c>
      <c r="I42" s="655">
        <f>'CUADRO 2 -Predial y Agua'!E12</f>
        <v>13940.66</v>
      </c>
      <c r="J42" s="447">
        <f>'CUADRO 2 -Predial y Agua'!F12</f>
        <v>146723</v>
      </c>
      <c r="K42" s="650">
        <f t="shared" si="5"/>
        <v>160663.66</v>
      </c>
    </row>
    <row r="43" spans="2:14" x14ac:dyDescent="0.25">
      <c r="B43" s="32" t="s">
        <v>147</v>
      </c>
      <c r="C43" s="198"/>
      <c r="D43" s="32"/>
      <c r="E43" s="34"/>
      <c r="F43" s="655">
        <f>'CUADRO 2 -Predial y Agua'!B13</f>
        <v>6656530</v>
      </c>
      <c r="G43" s="447">
        <f>'CUADRO 2 -Predial y Agua'!C13</f>
        <v>9254702</v>
      </c>
      <c r="H43" s="650">
        <f t="shared" si="4"/>
        <v>15911232</v>
      </c>
      <c r="I43" s="655">
        <f>'CUADRO 2 -Predial y Agua'!E13</f>
        <v>6683920.3499999996</v>
      </c>
      <c r="J43" s="447">
        <f>'CUADRO 2 -Predial y Agua'!F13</f>
        <v>9023915.9700000007</v>
      </c>
      <c r="K43" s="650">
        <f t="shared" si="5"/>
        <v>15707836.32</v>
      </c>
    </row>
    <row r="44" spans="2:14" x14ac:dyDescent="0.25">
      <c r="B44" s="32" t="s">
        <v>148</v>
      </c>
      <c r="C44" s="198"/>
      <c r="D44" s="32"/>
      <c r="E44" s="34"/>
      <c r="F44" s="655">
        <f>'CUADRO 2 -Predial y Agua'!B14</f>
        <v>2308377</v>
      </c>
      <c r="G44" s="447">
        <f>'CUADRO 2 -Predial y Agua'!C14</f>
        <v>3056752</v>
      </c>
      <c r="H44" s="650">
        <f t="shared" si="4"/>
        <v>5365129</v>
      </c>
      <c r="I44" s="655">
        <f>'CUADRO 2 -Predial y Agua'!E14</f>
        <v>2427788.5299999998</v>
      </c>
      <c r="J44" s="447">
        <f>'CUADRO 2 -Predial y Agua'!F14</f>
        <v>2814847.76</v>
      </c>
      <c r="K44" s="650">
        <f t="shared" si="5"/>
        <v>5242636.2899999991</v>
      </c>
    </row>
    <row r="45" spans="2:14" x14ac:dyDescent="0.25">
      <c r="B45" s="32" t="s">
        <v>149</v>
      </c>
      <c r="C45" s="198"/>
      <c r="D45" s="32"/>
      <c r="E45" s="34"/>
      <c r="F45" s="655">
        <f>'CUADRO 2 -Predial y Agua'!B15</f>
        <v>943205</v>
      </c>
      <c r="G45" s="447">
        <f>'CUADRO 2 -Predial y Agua'!C15</f>
        <v>544554</v>
      </c>
      <c r="H45" s="650">
        <f t="shared" si="4"/>
        <v>1487759</v>
      </c>
      <c r="I45" s="655">
        <f>'CUADRO 2 -Predial y Agua'!E15</f>
        <v>785279.52</v>
      </c>
      <c r="J45" s="447">
        <f>'CUADRO 2 -Predial y Agua'!F15</f>
        <v>632350.5</v>
      </c>
      <c r="K45" s="650">
        <f t="shared" si="5"/>
        <v>1417630.02</v>
      </c>
    </row>
    <row r="46" spans="2:14" x14ac:dyDescent="0.25">
      <c r="B46" s="32" t="s">
        <v>150</v>
      </c>
      <c r="C46" s="198"/>
      <c r="D46" s="32"/>
      <c r="E46" s="34"/>
      <c r="F46" s="655">
        <f>'CUADRO 2 -Predial y Agua'!B16</f>
        <v>2182505</v>
      </c>
      <c r="G46" s="447">
        <f>'CUADRO 2 -Predial y Agua'!C16</f>
        <v>1130676</v>
      </c>
      <c r="H46" s="650">
        <f t="shared" si="4"/>
        <v>3313181</v>
      </c>
      <c r="I46" s="655">
        <f>'CUADRO 2 -Predial y Agua'!E16</f>
        <v>2687964.06</v>
      </c>
      <c r="J46" s="447">
        <f>'CUADRO 2 -Predial y Agua'!F16</f>
        <v>1226876.02</v>
      </c>
      <c r="K46" s="650">
        <f t="shared" si="5"/>
        <v>3914840.08</v>
      </c>
    </row>
    <row r="47" spans="2:14" x14ac:dyDescent="0.25">
      <c r="B47" s="32" t="s">
        <v>151</v>
      </c>
      <c r="C47" s="198"/>
      <c r="D47" s="32"/>
      <c r="E47" s="34"/>
      <c r="F47" s="655">
        <f>'CUADRO 2 -Predial y Agua'!B17</f>
        <v>824295</v>
      </c>
      <c r="G47" s="447">
        <f>'CUADRO 2 -Predial y Agua'!C17</f>
        <v>2812836</v>
      </c>
      <c r="H47" s="650">
        <f t="shared" si="4"/>
        <v>3637131</v>
      </c>
      <c r="I47" s="655">
        <f>'CUADRO 2 -Predial y Agua'!E17</f>
        <v>650353.03</v>
      </c>
      <c r="J47" s="447">
        <f>'CUADRO 2 -Predial y Agua'!F17</f>
        <v>2658148.25</v>
      </c>
      <c r="K47" s="650">
        <f t="shared" si="5"/>
        <v>3308501.2800000003</v>
      </c>
    </row>
    <row r="48" spans="2:14" x14ac:dyDescent="0.25">
      <c r="B48" s="32" t="s">
        <v>152</v>
      </c>
      <c r="C48" s="198"/>
      <c r="D48" s="32"/>
      <c r="E48" s="34"/>
      <c r="F48" s="655">
        <f>'CUADRO 2 -Predial y Agua'!B18</f>
        <v>3879447</v>
      </c>
      <c r="G48" s="447">
        <f>'CUADRO 2 -Predial y Agua'!C18</f>
        <v>4935713</v>
      </c>
      <c r="H48" s="650">
        <f t="shared" si="4"/>
        <v>8815160</v>
      </c>
      <c r="I48" s="655">
        <f>'CUADRO 2 -Predial y Agua'!E18</f>
        <v>3960601.93</v>
      </c>
      <c r="J48" s="447">
        <f>'CUADRO 2 -Predial y Agua'!F18</f>
        <v>5371825.3899999997</v>
      </c>
      <c r="K48" s="650">
        <f t="shared" si="5"/>
        <v>9332427.3200000003</v>
      </c>
    </row>
    <row r="49" spans="2:11" x14ac:dyDescent="0.25">
      <c r="B49" s="32" t="s">
        <v>153</v>
      </c>
      <c r="C49" s="198"/>
      <c r="D49" s="32"/>
      <c r="E49" s="34"/>
      <c r="F49" s="655">
        <f>'CUADRO 2 -Predial y Agua'!B19</f>
        <v>1126785</v>
      </c>
      <c r="G49" s="447">
        <f>'CUADRO 2 -Predial y Agua'!C19</f>
        <v>1347657</v>
      </c>
      <c r="H49" s="650">
        <f t="shared" si="4"/>
        <v>2474442</v>
      </c>
      <c r="I49" s="655">
        <f>'CUADRO 2 -Predial y Agua'!E19</f>
        <v>1170338.5900000001</v>
      </c>
      <c r="J49" s="447">
        <f>'CUADRO 2 -Predial y Agua'!F19</f>
        <v>1374227.31</v>
      </c>
      <c r="K49" s="650">
        <f t="shared" si="5"/>
        <v>2544565.9000000004</v>
      </c>
    </row>
    <row r="50" spans="2:11" x14ac:dyDescent="0.25">
      <c r="B50" s="32" t="s">
        <v>154</v>
      </c>
      <c r="C50" s="198"/>
      <c r="D50" s="32"/>
      <c r="E50" s="34"/>
      <c r="F50" s="655">
        <f>'CUADRO 2 -Predial y Agua'!B20</f>
        <v>3896403</v>
      </c>
      <c r="G50" s="447">
        <f>'CUADRO 2 -Predial y Agua'!C20</f>
        <v>1631625</v>
      </c>
      <c r="H50" s="650">
        <f t="shared" si="4"/>
        <v>5528028</v>
      </c>
      <c r="I50" s="655">
        <f>'CUADRO 2 -Predial y Agua'!E20</f>
        <v>3160422.9</v>
      </c>
      <c r="J50" s="447">
        <f>'CUADRO 2 -Predial y Agua'!F20</f>
        <v>1732447.65</v>
      </c>
      <c r="K50" s="650">
        <f t="shared" si="5"/>
        <v>4892870.55</v>
      </c>
    </row>
    <row r="51" spans="2:11" x14ac:dyDescent="0.25">
      <c r="B51" s="32" t="s">
        <v>155</v>
      </c>
      <c r="C51" s="198"/>
      <c r="D51" s="32"/>
      <c r="E51" s="34"/>
      <c r="F51" s="655">
        <f>'CUADRO 2 -Predial y Agua'!B21</f>
        <v>7542434</v>
      </c>
      <c r="G51" s="447">
        <f>'CUADRO 2 -Predial y Agua'!C21</f>
        <v>9224289</v>
      </c>
      <c r="H51" s="650">
        <f t="shared" si="4"/>
        <v>16766723</v>
      </c>
      <c r="I51" s="655">
        <f>'CUADRO 2 -Predial y Agua'!E21</f>
        <v>9591506.0399999991</v>
      </c>
      <c r="J51" s="447">
        <f>'CUADRO 2 -Predial y Agua'!F21</f>
        <v>18337689.350000001</v>
      </c>
      <c r="K51" s="650">
        <f t="shared" si="5"/>
        <v>27929195.390000001</v>
      </c>
    </row>
    <row r="52" spans="2:11" x14ac:dyDescent="0.25">
      <c r="B52" s="32" t="s">
        <v>156</v>
      </c>
      <c r="C52" s="198"/>
      <c r="D52" s="32"/>
      <c r="E52" s="34"/>
      <c r="F52" s="655">
        <f>'CUADRO 2 -Predial y Agua'!B22</f>
        <v>5428851</v>
      </c>
      <c r="G52" s="447">
        <f>'CUADRO 2 -Predial y Agua'!C22</f>
        <v>2670730</v>
      </c>
      <c r="H52" s="650">
        <f t="shared" si="4"/>
        <v>8099581</v>
      </c>
      <c r="I52" s="655">
        <f>'CUADRO 2 -Predial y Agua'!E22</f>
        <v>3027422.99</v>
      </c>
      <c r="J52" s="447">
        <f>'CUADRO 2 -Predial y Agua'!F22</f>
        <v>3991945.62</v>
      </c>
      <c r="K52" s="650">
        <f t="shared" si="5"/>
        <v>7019368.6100000003</v>
      </c>
    </row>
    <row r="53" spans="2:11" s="234" customFormat="1" x14ac:dyDescent="0.25">
      <c r="B53" s="232" t="s">
        <v>157</v>
      </c>
      <c r="C53" s="233"/>
      <c r="D53" s="232"/>
      <c r="E53" s="653"/>
      <c r="F53" s="655">
        <f>'CUADRO 2 -Predial y Agua'!B23</f>
        <v>92273088</v>
      </c>
      <c r="G53" s="447">
        <f>'CUADRO 2 -Predial y Agua'!C23</f>
        <v>237151683</v>
      </c>
      <c r="H53" s="650">
        <f t="shared" si="4"/>
        <v>329424771</v>
      </c>
      <c r="I53" s="655">
        <f>'CUADRO 2 -Predial y Agua'!E23</f>
        <v>89662839.430000007</v>
      </c>
      <c r="J53" s="447">
        <f>'CUADRO 2 -Predial y Agua'!F23</f>
        <v>251828611.08000001</v>
      </c>
      <c r="K53" s="650">
        <f t="shared" si="5"/>
        <v>341491450.50999999</v>
      </c>
    </row>
    <row r="54" spans="2:11" x14ac:dyDescent="0.25">
      <c r="B54" s="32" t="s">
        <v>158</v>
      </c>
      <c r="C54" s="198"/>
      <c r="D54" s="32"/>
      <c r="E54" s="34"/>
      <c r="F54" s="655">
        <f>'CUADRO 2 -Predial y Agua'!B24</f>
        <v>2408062</v>
      </c>
      <c r="G54" s="447">
        <f>'CUADRO 2 -Predial y Agua'!C24</f>
        <v>1645038</v>
      </c>
      <c r="H54" s="650">
        <f t="shared" si="4"/>
        <v>4053100</v>
      </c>
      <c r="I54" s="655">
        <f>'CUADRO 2 -Predial y Agua'!E24</f>
        <v>3218818.87</v>
      </c>
      <c r="J54" s="447">
        <f>'CUADRO 2 -Predial y Agua'!F24</f>
        <v>2032931.71</v>
      </c>
      <c r="K54" s="650">
        <f t="shared" si="5"/>
        <v>5251750.58</v>
      </c>
    </row>
    <row r="55" spans="2:11" ht="15.75" thickBot="1" x14ac:dyDescent="0.3">
      <c r="B55" s="32" t="s">
        <v>159</v>
      </c>
      <c r="C55" s="198"/>
      <c r="D55" s="32"/>
      <c r="E55" s="34"/>
      <c r="F55" s="656">
        <f>'CUADRO 2 -Predial y Agua'!B25</f>
        <v>19875122</v>
      </c>
      <c r="G55" s="651">
        <f>'CUADRO 2 -Predial y Agua'!C25</f>
        <v>28558140</v>
      </c>
      <c r="H55" s="652">
        <f t="shared" si="4"/>
        <v>48433262</v>
      </c>
      <c r="I55" s="656">
        <f>'CUADRO 2 -Predial y Agua'!E25</f>
        <v>15571309.58</v>
      </c>
      <c r="J55" s="651">
        <f>'CUADRO 2 -Predial y Agua'!F25</f>
        <v>40491577.509999998</v>
      </c>
      <c r="K55" s="652">
        <f t="shared" si="5"/>
        <v>56062887.089999996</v>
      </c>
    </row>
    <row r="56" spans="2:11" ht="15.75" thickBot="1" x14ac:dyDescent="0.3">
      <c r="B56" s="115" t="s">
        <v>65</v>
      </c>
      <c r="C56" s="198"/>
      <c r="D56" s="198"/>
      <c r="E56" s="657"/>
      <c r="F56" s="658">
        <f>SUM(F36:F55)</f>
        <v>402626821</v>
      </c>
      <c r="G56" s="658">
        <f>SUM(G36:G55)</f>
        <v>530391971</v>
      </c>
      <c r="H56" s="659">
        <f>SUM(H36:H55)</f>
        <v>933018792</v>
      </c>
      <c r="I56" s="658">
        <f>SUM(I36:I55)</f>
        <v>463019041.96999991</v>
      </c>
      <c r="J56" s="658">
        <f>SUM(J36:J55)</f>
        <v>576426284.08000004</v>
      </c>
      <c r="K56" s="658">
        <f>I56+J56</f>
        <v>1039445326.05</v>
      </c>
    </row>
  </sheetData>
  <mergeCells count="9">
    <mergeCell ref="B34:B35"/>
    <mergeCell ref="F34:H34"/>
    <mergeCell ref="I34:K34"/>
    <mergeCell ref="B3:G3"/>
    <mergeCell ref="B4:G4"/>
    <mergeCell ref="B5:B8"/>
    <mergeCell ref="C5:C6"/>
    <mergeCell ref="E5:E6"/>
    <mergeCell ref="G5:G6"/>
  </mergeCells>
  <pageMargins left="0.70866141732283472" right="0.70866141732283472" top="0.74803149606299213" bottom="0.74803149606299213" header="0.31496062992125984" footer="0.31496062992125984"/>
  <pageSetup scale="6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theme="3" tint="0.79998168889431442"/>
    <pageSetUpPr fitToPage="1"/>
  </sheetPr>
  <dimension ref="B2:U88"/>
  <sheetViews>
    <sheetView zoomScale="90" zoomScaleNormal="90" workbookViewId="0">
      <selection activeCell="Q48" sqref="Q48"/>
    </sheetView>
  </sheetViews>
  <sheetFormatPr baseColWidth="10" defaultColWidth="11.42578125" defaultRowHeight="15" x14ac:dyDescent="0.25"/>
  <cols>
    <col min="1" max="1" width="3.5703125" customWidth="1"/>
    <col min="2" max="2" width="22.42578125" customWidth="1"/>
    <col min="3" max="3" width="15.42578125" customWidth="1"/>
    <col min="4" max="4" width="18.7109375" customWidth="1"/>
    <col min="5" max="5" width="18.28515625" customWidth="1"/>
    <col min="6" max="7" width="18" bestFit="1" customWidth="1"/>
    <col min="8" max="12" width="16.28515625" customWidth="1"/>
    <col min="13" max="16" width="16.7109375" customWidth="1"/>
    <col min="17" max="17" width="15.28515625" bestFit="1" customWidth="1"/>
    <col min="18" max="18" width="17.7109375" customWidth="1"/>
    <col min="20" max="20" width="15.28515625" bestFit="1" customWidth="1"/>
    <col min="21" max="21" width="15.140625" customWidth="1"/>
  </cols>
  <sheetData>
    <row r="2" spans="2:21" x14ac:dyDescent="0.25">
      <c r="B2" s="8"/>
      <c r="C2" s="8"/>
      <c r="D2" s="8"/>
      <c r="E2" s="8"/>
      <c r="F2" s="8"/>
      <c r="G2" s="8"/>
      <c r="H2" s="8"/>
      <c r="I2" s="8"/>
      <c r="J2" s="8"/>
      <c r="K2" s="57"/>
      <c r="L2" s="57"/>
      <c r="M2" s="200" t="s">
        <v>199</v>
      </c>
      <c r="N2" s="8"/>
      <c r="O2" s="8"/>
      <c r="P2" s="8"/>
      <c r="Q2" s="8"/>
      <c r="R2" s="8"/>
      <c r="S2" s="8"/>
      <c r="T2" s="8"/>
      <c r="U2" s="8"/>
    </row>
    <row r="3" spans="2:21" x14ac:dyDescent="0.25">
      <c r="B3" s="967" t="s">
        <v>0</v>
      </c>
      <c r="C3" s="967"/>
      <c r="D3" s="967"/>
      <c r="E3" s="967"/>
      <c r="F3" s="967"/>
      <c r="G3" s="967"/>
      <c r="H3" s="967"/>
      <c r="I3" s="967"/>
      <c r="J3" s="967"/>
      <c r="K3" s="967"/>
      <c r="L3" s="967"/>
      <c r="M3" s="967"/>
      <c r="N3" s="8"/>
      <c r="O3" s="8"/>
      <c r="P3" s="8"/>
      <c r="Q3" s="8"/>
      <c r="R3" s="8"/>
      <c r="S3" s="8"/>
      <c r="T3" s="8"/>
      <c r="U3" s="8"/>
    </row>
    <row r="4" spans="2:21" ht="15.75" thickBot="1" x14ac:dyDescent="0.3">
      <c r="B4" s="1145" t="s">
        <v>200</v>
      </c>
      <c r="C4" s="1145"/>
      <c r="D4" s="1145"/>
      <c r="E4" s="1145"/>
      <c r="F4" s="1145"/>
      <c r="G4" s="1145"/>
      <c r="H4" s="1145"/>
      <c r="I4" s="1145"/>
      <c r="J4" s="1145"/>
      <c r="K4" s="1145"/>
      <c r="L4" s="1145"/>
      <c r="M4" s="1145"/>
      <c r="N4" s="8"/>
      <c r="O4" s="8"/>
      <c r="P4" s="8"/>
      <c r="Q4" s="8"/>
      <c r="R4" s="8"/>
      <c r="S4" s="8"/>
      <c r="T4" s="8"/>
      <c r="U4" s="8"/>
    </row>
    <row r="5" spans="2:21" x14ac:dyDescent="0.25">
      <c r="B5" s="1324" t="s">
        <v>83</v>
      </c>
      <c r="C5" s="1326" t="s">
        <v>201</v>
      </c>
      <c r="D5" s="1326"/>
      <c r="E5" s="1326" t="s">
        <v>202</v>
      </c>
      <c r="F5" s="1326"/>
      <c r="G5" s="235" t="s">
        <v>203</v>
      </c>
      <c r="H5" s="235" t="s">
        <v>132</v>
      </c>
      <c r="I5" s="236"/>
      <c r="J5" s="236"/>
      <c r="K5" s="236" t="s">
        <v>29</v>
      </c>
      <c r="L5" s="236" t="s">
        <v>22</v>
      </c>
      <c r="M5" s="237" t="s">
        <v>82</v>
      </c>
      <c r="N5" s="117"/>
      <c r="O5" s="117"/>
      <c r="P5" s="117"/>
      <c r="Q5" s="123"/>
      <c r="R5" s="8"/>
      <c r="S5" s="8"/>
      <c r="T5" s="8"/>
      <c r="U5" s="8"/>
    </row>
    <row r="6" spans="2:21" x14ac:dyDescent="0.25">
      <c r="B6" s="1325"/>
      <c r="C6" s="1316" t="s">
        <v>69</v>
      </c>
      <c r="D6" s="1316"/>
      <c r="E6" s="1327" t="s">
        <v>127</v>
      </c>
      <c r="F6" s="1327"/>
      <c r="G6" s="215" t="s">
        <v>204</v>
      </c>
      <c r="H6" s="215" t="s">
        <v>205</v>
      </c>
      <c r="I6" s="238"/>
      <c r="J6" s="238"/>
      <c r="K6" s="238" t="s">
        <v>35</v>
      </c>
      <c r="L6" s="238" t="s">
        <v>206</v>
      </c>
      <c r="M6" s="239" t="s">
        <v>207</v>
      </c>
      <c r="N6" s="117"/>
      <c r="O6" s="117"/>
      <c r="P6" s="117"/>
      <c r="Q6" s="123"/>
      <c r="R6" s="8"/>
      <c r="S6" s="96"/>
      <c r="T6" s="240"/>
      <c r="U6" s="8"/>
    </row>
    <row r="7" spans="2:21" x14ac:dyDescent="0.25">
      <c r="B7" s="1325"/>
      <c r="C7" s="205" t="s">
        <v>132</v>
      </c>
      <c r="D7" s="205" t="s">
        <v>208</v>
      </c>
      <c r="E7" s="201" t="s">
        <v>132</v>
      </c>
      <c r="F7" s="201" t="s">
        <v>209</v>
      </c>
      <c r="G7" s="215"/>
      <c r="H7" s="215" t="s">
        <v>210</v>
      </c>
      <c r="I7" s="238"/>
      <c r="J7" s="238"/>
      <c r="K7" s="238" t="s">
        <v>43</v>
      </c>
      <c r="L7" s="238" t="s">
        <v>42</v>
      </c>
      <c r="M7" s="239" t="s">
        <v>211</v>
      </c>
      <c r="N7" s="117"/>
      <c r="O7" s="117"/>
      <c r="P7" s="117"/>
      <c r="Q7" s="123"/>
      <c r="R7" s="8"/>
      <c r="S7" s="96"/>
      <c r="T7" s="240"/>
      <c r="U7" s="8"/>
    </row>
    <row r="8" spans="2:21" x14ac:dyDescent="0.25">
      <c r="B8" s="1325"/>
      <c r="C8" s="241" t="s">
        <v>212</v>
      </c>
      <c r="D8" s="241" t="s">
        <v>92</v>
      </c>
      <c r="E8" s="241" t="s">
        <v>71</v>
      </c>
      <c r="F8" s="241" t="s">
        <v>93</v>
      </c>
      <c r="G8" s="242" t="s">
        <v>139</v>
      </c>
      <c r="H8" s="242" t="s">
        <v>95</v>
      </c>
      <c r="I8" s="243"/>
      <c r="J8" s="243"/>
      <c r="K8" s="244"/>
      <c r="L8" s="244"/>
      <c r="M8" s="245"/>
      <c r="N8" s="8"/>
      <c r="O8" s="8"/>
      <c r="P8" s="8"/>
      <c r="Q8" s="8"/>
      <c r="R8" s="8"/>
      <c r="S8" s="96"/>
      <c r="T8" s="240"/>
      <c r="U8" s="8"/>
    </row>
    <row r="9" spans="2:21" x14ac:dyDescent="0.25">
      <c r="B9" s="120" t="s">
        <v>45</v>
      </c>
      <c r="C9" s="246" t="e">
        <f>#REF!</f>
        <v>#REF!</v>
      </c>
      <c r="D9" s="217" t="e">
        <f>#REF!</f>
        <v>#REF!</v>
      </c>
      <c r="E9" s="132">
        <v>6.3423828522887202</v>
      </c>
      <c r="F9" s="97">
        <f>'FGP 30%'!G9</f>
        <v>15229124.821229847</v>
      </c>
      <c r="G9" s="112" t="e">
        <f t="shared" ref="G9:G28" si="0">D9+F9</f>
        <v>#REF!</v>
      </c>
      <c r="H9" s="216" t="e">
        <f>G9/G$29%</f>
        <v>#REF!</v>
      </c>
      <c r="I9" s="285">
        <v>212240.17867414959</v>
      </c>
      <c r="J9" s="247" t="e">
        <f>I9-G9</f>
        <v>#REF!</v>
      </c>
      <c r="K9" s="248" t="e">
        <f>J9-H9</f>
        <v>#REF!</v>
      </c>
      <c r="L9" s="249" t="e">
        <f>K9/K$29*100</f>
        <v>#REF!</v>
      </c>
      <c r="M9" s="250" t="e">
        <f>D9+F9+K9</f>
        <v>#REF!</v>
      </c>
      <c r="N9" s="240"/>
      <c r="O9" s="240"/>
      <c r="P9" s="240"/>
      <c r="Q9" s="240"/>
      <c r="R9" s="240"/>
      <c r="S9" s="96"/>
      <c r="T9" s="240"/>
      <c r="U9" s="251"/>
    </row>
    <row r="10" spans="2:21" x14ac:dyDescent="0.25">
      <c r="B10" s="120" t="s">
        <v>46</v>
      </c>
      <c r="C10" s="246" t="e">
        <f>#REF!</f>
        <v>#REF!</v>
      </c>
      <c r="D10" s="217" t="e">
        <f>#REF!</f>
        <v>#REF!</v>
      </c>
      <c r="E10" s="132">
        <v>4.8747369734108545</v>
      </c>
      <c r="F10" s="97">
        <f>'FGP 30%'!G10</f>
        <v>17756848.825583406</v>
      </c>
      <c r="G10" s="114" t="e">
        <f t="shared" si="0"/>
        <v>#REF!</v>
      </c>
      <c r="H10" s="131" t="e">
        <f t="shared" ref="H10:H28" si="1">G10/G$29%</f>
        <v>#REF!</v>
      </c>
      <c r="I10" s="285">
        <v>145867.37344216814</v>
      </c>
      <c r="J10" s="247" t="e">
        <f t="shared" ref="J10:K28" si="2">I10-G10</f>
        <v>#REF!</v>
      </c>
      <c r="K10" s="248" t="e">
        <f t="shared" si="2"/>
        <v>#REF!</v>
      </c>
      <c r="L10" s="249" t="e">
        <f t="shared" ref="L10:L28" si="3">K10/K$29*100</f>
        <v>#REF!</v>
      </c>
      <c r="M10" s="252" t="e">
        <f t="shared" ref="M10:M28" si="4">D10+F10+K10</f>
        <v>#REF!</v>
      </c>
      <c r="N10" s="240"/>
      <c r="O10" s="240"/>
      <c r="P10" s="240"/>
      <c r="Q10" s="240"/>
      <c r="R10" s="240"/>
      <c r="S10" s="96"/>
      <c r="T10" s="240"/>
      <c r="U10" s="251"/>
    </row>
    <row r="11" spans="2:21" x14ac:dyDescent="0.25">
      <c r="B11" s="120" t="s">
        <v>47</v>
      </c>
      <c r="C11" s="246" t="e">
        <f>#REF!</f>
        <v>#REF!</v>
      </c>
      <c r="D11" s="217" t="e">
        <f>#REF!</f>
        <v>#REF!</v>
      </c>
      <c r="E11" s="132">
        <v>3.9787441024444163</v>
      </c>
      <c r="F11" s="97">
        <f>'FGP 30%'!G11</f>
        <v>15693289.250382174</v>
      </c>
      <c r="G11" s="114" t="e">
        <f t="shared" si="0"/>
        <v>#REF!</v>
      </c>
      <c r="H11" s="131" t="e">
        <f t="shared" si="1"/>
        <v>#REF!</v>
      </c>
      <c r="I11" s="285">
        <v>130448.22525879936</v>
      </c>
      <c r="J11" s="247" t="e">
        <f t="shared" si="2"/>
        <v>#REF!</v>
      </c>
      <c r="K11" s="248" t="e">
        <f t="shared" si="2"/>
        <v>#REF!</v>
      </c>
      <c r="L11" s="249" t="e">
        <f t="shared" si="3"/>
        <v>#REF!</v>
      </c>
      <c r="M11" s="252" t="e">
        <f t="shared" si="4"/>
        <v>#REF!</v>
      </c>
      <c r="N11" s="240"/>
      <c r="O11" s="240"/>
      <c r="P11" s="240"/>
      <c r="Q11" s="240"/>
      <c r="R11" s="240"/>
      <c r="S11" s="96"/>
      <c r="T11" s="240"/>
      <c r="U11" s="251"/>
    </row>
    <row r="12" spans="2:21" x14ac:dyDescent="0.25">
      <c r="B12" s="120" t="s">
        <v>48</v>
      </c>
      <c r="C12" s="246" t="e">
        <f>#REF!</f>
        <v>#REF!</v>
      </c>
      <c r="D12" s="217" t="e">
        <f>#REF!</f>
        <v>#REF!</v>
      </c>
      <c r="E12" s="132">
        <v>4.7794922547559926</v>
      </c>
      <c r="F12" s="97">
        <f>'FGP 30%'!G12</f>
        <v>19260534.446388889</v>
      </c>
      <c r="G12" s="114" t="e">
        <f t="shared" si="0"/>
        <v>#REF!</v>
      </c>
      <c r="H12" s="131" t="e">
        <f t="shared" si="1"/>
        <v>#REF!</v>
      </c>
      <c r="I12" s="285">
        <v>417649.23433316802</v>
      </c>
      <c r="J12" s="247" t="e">
        <f t="shared" si="2"/>
        <v>#REF!</v>
      </c>
      <c r="K12" s="248" t="e">
        <f t="shared" si="2"/>
        <v>#REF!</v>
      </c>
      <c r="L12" s="249" t="e">
        <f t="shared" si="3"/>
        <v>#REF!</v>
      </c>
      <c r="M12" s="252" t="e">
        <f t="shared" si="4"/>
        <v>#REF!</v>
      </c>
      <c r="N12" s="240"/>
      <c r="O12" s="240"/>
      <c r="P12" s="251"/>
      <c r="Q12" s="240"/>
      <c r="R12" s="251"/>
      <c r="S12" s="96"/>
      <c r="T12" s="240"/>
      <c r="U12" s="251"/>
    </row>
    <row r="13" spans="2:21" x14ac:dyDescent="0.25">
      <c r="B13" s="120" t="s">
        <v>49</v>
      </c>
      <c r="C13" s="246" t="e">
        <f>#REF!</f>
        <v>#REF!</v>
      </c>
      <c r="D13" s="217" t="e">
        <f>#REF!</f>
        <v>#REF!</v>
      </c>
      <c r="E13" s="132">
        <v>4.8396147698123535</v>
      </c>
      <c r="F13" s="97">
        <f>'FGP 30%'!G13</f>
        <v>19773657.240815718</v>
      </c>
      <c r="G13" s="114" t="e">
        <f t="shared" si="0"/>
        <v>#REF!</v>
      </c>
      <c r="H13" s="131" t="e">
        <f t="shared" si="1"/>
        <v>#REF!</v>
      </c>
      <c r="I13" s="285">
        <v>277064.87231006427</v>
      </c>
      <c r="J13" s="247" t="e">
        <f t="shared" si="2"/>
        <v>#REF!</v>
      </c>
      <c r="K13" s="248" t="e">
        <f t="shared" si="2"/>
        <v>#REF!</v>
      </c>
      <c r="L13" s="249" t="e">
        <f t="shared" si="3"/>
        <v>#REF!</v>
      </c>
      <c r="M13" s="252" t="e">
        <f t="shared" si="4"/>
        <v>#REF!</v>
      </c>
      <c r="N13" s="240"/>
      <c r="O13" s="240"/>
      <c r="P13" s="240"/>
      <c r="Q13" s="240"/>
      <c r="R13" s="240"/>
      <c r="S13" s="96"/>
      <c r="T13" s="240"/>
      <c r="U13" s="251"/>
    </row>
    <row r="14" spans="2:21" x14ac:dyDescent="0.25">
      <c r="B14" s="120" t="s">
        <v>50</v>
      </c>
      <c r="C14" s="246" t="e">
        <f>#REF!</f>
        <v>#REF!</v>
      </c>
      <c r="D14" s="217" t="e">
        <f>#REF!</f>
        <v>#REF!</v>
      </c>
      <c r="E14" s="132">
        <v>4.8859352991166247</v>
      </c>
      <c r="F14" s="97">
        <f>'FGP 30%'!G14</f>
        <v>32407581.058459442</v>
      </c>
      <c r="G14" s="114" t="e">
        <f t="shared" si="0"/>
        <v>#REF!</v>
      </c>
      <c r="H14" s="131" t="e">
        <f t="shared" si="1"/>
        <v>#REF!</v>
      </c>
      <c r="I14" s="285">
        <v>187736.37714703428</v>
      </c>
      <c r="J14" s="247" t="e">
        <f t="shared" si="2"/>
        <v>#REF!</v>
      </c>
      <c r="K14" s="248" t="e">
        <f t="shared" si="2"/>
        <v>#REF!</v>
      </c>
      <c r="L14" s="249" t="e">
        <f t="shared" si="3"/>
        <v>#REF!</v>
      </c>
      <c r="M14" s="252" t="e">
        <f t="shared" si="4"/>
        <v>#REF!</v>
      </c>
      <c r="N14" s="240"/>
      <c r="O14" s="240"/>
      <c r="P14" s="240"/>
      <c r="Q14" s="240"/>
      <c r="R14" s="240"/>
      <c r="S14" s="96"/>
      <c r="T14" s="240"/>
      <c r="U14" s="251"/>
    </row>
    <row r="15" spans="2:21" x14ac:dyDescent="0.25">
      <c r="B15" s="120" t="s">
        <v>51</v>
      </c>
      <c r="C15" s="246" t="e">
        <f>#REF!</f>
        <v>#REF!</v>
      </c>
      <c r="D15" s="217" t="e">
        <f>#REF!</f>
        <v>#REF!</v>
      </c>
      <c r="E15" s="132">
        <v>4.009568855684738</v>
      </c>
      <c r="F15" s="97">
        <f>'FGP 30%'!G15</f>
        <v>16124886.233129133</v>
      </c>
      <c r="G15" s="114" t="e">
        <f t="shared" si="0"/>
        <v>#REF!</v>
      </c>
      <c r="H15" s="131" t="e">
        <f t="shared" si="1"/>
        <v>#REF!</v>
      </c>
      <c r="I15" s="285">
        <v>131008.64234565338</v>
      </c>
      <c r="J15" s="247" t="e">
        <f t="shared" si="2"/>
        <v>#REF!</v>
      </c>
      <c r="K15" s="248" t="e">
        <f t="shared" si="2"/>
        <v>#REF!</v>
      </c>
      <c r="L15" s="249" t="e">
        <f t="shared" si="3"/>
        <v>#REF!</v>
      </c>
      <c r="M15" s="252" t="e">
        <f t="shared" si="4"/>
        <v>#REF!</v>
      </c>
      <c r="N15" s="240"/>
      <c r="O15" s="240"/>
      <c r="P15" s="240"/>
      <c r="Q15" s="240"/>
      <c r="R15" s="240"/>
      <c r="S15" s="96"/>
      <c r="T15" s="240"/>
      <c r="U15" s="251"/>
    </row>
    <row r="16" spans="2:21" x14ac:dyDescent="0.25">
      <c r="B16" s="120" t="s">
        <v>52</v>
      </c>
      <c r="C16" s="246" t="e">
        <f>#REF!</f>
        <v>#REF!</v>
      </c>
      <c r="D16" s="217" t="e">
        <f>#REF!</f>
        <v>#REF!</v>
      </c>
      <c r="E16" s="132">
        <v>7.5369203970102321</v>
      </c>
      <c r="F16" s="97">
        <f>'FGP 30%'!G16</f>
        <v>16352273.62006701</v>
      </c>
      <c r="G16" s="114" t="e">
        <f t="shared" si="0"/>
        <v>#REF!</v>
      </c>
      <c r="H16" s="131" t="e">
        <f t="shared" si="1"/>
        <v>#REF!</v>
      </c>
      <c r="I16" s="285">
        <v>205355.35681466889</v>
      </c>
      <c r="J16" s="247" t="e">
        <f t="shared" si="2"/>
        <v>#REF!</v>
      </c>
      <c r="K16" s="248" t="e">
        <f t="shared" si="2"/>
        <v>#REF!</v>
      </c>
      <c r="L16" s="249" t="e">
        <f t="shared" si="3"/>
        <v>#REF!</v>
      </c>
      <c r="M16" s="252" t="e">
        <f t="shared" si="4"/>
        <v>#REF!</v>
      </c>
      <c r="N16" s="240"/>
      <c r="O16" s="240"/>
      <c r="P16" s="240"/>
      <c r="Q16" s="240"/>
      <c r="R16" s="240"/>
      <c r="S16" s="96"/>
      <c r="T16" s="240"/>
      <c r="U16" s="251"/>
    </row>
    <row r="17" spans="2:21" x14ac:dyDescent="0.25">
      <c r="B17" s="120" t="s">
        <v>53</v>
      </c>
      <c r="C17" s="246" t="e">
        <f>#REF!</f>
        <v>#REF!</v>
      </c>
      <c r="D17" s="217" t="e">
        <f>#REF!</f>
        <v>#REF!</v>
      </c>
      <c r="E17" s="132">
        <v>5.9361538809380185</v>
      </c>
      <c r="F17" s="97">
        <f>'FGP 30%'!G17</f>
        <v>16185836.432126166</v>
      </c>
      <c r="G17" s="114" t="e">
        <f t="shared" si="0"/>
        <v>#REF!</v>
      </c>
      <c r="H17" s="131" t="e">
        <f t="shared" si="1"/>
        <v>#REF!</v>
      </c>
      <c r="I17" s="285">
        <v>162912.99120529165</v>
      </c>
      <c r="J17" s="247" t="e">
        <f t="shared" si="2"/>
        <v>#REF!</v>
      </c>
      <c r="K17" s="248" t="e">
        <f t="shared" si="2"/>
        <v>#REF!</v>
      </c>
      <c r="L17" s="249" t="e">
        <f t="shared" si="3"/>
        <v>#REF!</v>
      </c>
      <c r="M17" s="252" t="e">
        <f t="shared" si="4"/>
        <v>#REF!</v>
      </c>
      <c r="N17" s="240"/>
      <c r="O17" s="240"/>
      <c r="P17" s="240"/>
      <c r="Q17" s="240"/>
      <c r="R17" s="240"/>
      <c r="S17" s="96"/>
      <c r="T17" s="240"/>
      <c r="U17" s="251"/>
    </row>
    <row r="18" spans="2:21" x14ac:dyDescent="0.25">
      <c r="B18" s="120" t="s">
        <v>54</v>
      </c>
      <c r="C18" s="246" t="e">
        <f>#REF!</f>
        <v>#REF!</v>
      </c>
      <c r="D18" s="217" t="e">
        <f>#REF!</f>
        <v>#REF!</v>
      </c>
      <c r="E18" s="132">
        <v>4.8230792844533079</v>
      </c>
      <c r="F18" s="97">
        <f>'FGP 30%'!G18</f>
        <v>15783230.597255336</v>
      </c>
      <c r="G18" s="114" t="e">
        <f t="shared" si="0"/>
        <v>#REF!</v>
      </c>
      <c r="H18" s="131" t="e">
        <f t="shared" si="1"/>
        <v>#REF!</v>
      </c>
      <c r="I18" s="285">
        <v>142227.96010683011</v>
      </c>
      <c r="J18" s="247" t="e">
        <f t="shared" si="2"/>
        <v>#REF!</v>
      </c>
      <c r="K18" s="248" t="e">
        <f t="shared" si="2"/>
        <v>#REF!</v>
      </c>
      <c r="L18" s="249" t="e">
        <f t="shared" si="3"/>
        <v>#REF!</v>
      </c>
      <c r="M18" s="252" t="e">
        <f t="shared" si="4"/>
        <v>#REF!</v>
      </c>
      <c r="N18" s="240"/>
      <c r="O18" s="240"/>
      <c r="P18" s="240"/>
      <c r="Q18" s="240"/>
      <c r="R18" s="240"/>
      <c r="S18" s="96"/>
      <c r="T18" s="240"/>
      <c r="U18" s="251"/>
    </row>
    <row r="19" spans="2:21" x14ac:dyDescent="0.25">
      <c r="B19" s="120" t="s">
        <v>55</v>
      </c>
      <c r="C19" s="246" t="e">
        <f>#REF!</f>
        <v>#REF!</v>
      </c>
      <c r="D19" s="217" t="e">
        <f>#REF!</f>
        <v>#REF!</v>
      </c>
      <c r="E19" s="132">
        <v>4.1063513873665975</v>
      </c>
      <c r="F19" s="97">
        <f>'FGP 30%'!G19</f>
        <v>19571965.89607371</v>
      </c>
      <c r="G19" s="114" t="e">
        <f t="shared" si="0"/>
        <v>#REF!</v>
      </c>
      <c r="H19" s="131" t="e">
        <f t="shared" si="1"/>
        <v>#REF!</v>
      </c>
      <c r="I19" s="285">
        <v>178100.70770568217</v>
      </c>
      <c r="J19" s="247" t="e">
        <f t="shared" si="2"/>
        <v>#REF!</v>
      </c>
      <c r="K19" s="248" t="e">
        <f t="shared" si="2"/>
        <v>#REF!</v>
      </c>
      <c r="L19" s="249" t="e">
        <f t="shared" si="3"/>
        <v>#REF!</v>
      </c>
      <c r="M19" s="252" t="e">
        <f t="shared" si="4"/>
        <v>#REF!</v>
      </c>
      <c r="N19" s="240"/>
      <c r="O19" s="240"/>
      <c r="P19" s="240"/>
      <c r="Q19" s="240"/>
      <c r="R19" s="240"/>
      <c r="S19" s="96"/>
      <c r="T19" s="240"/>
      <c r="U19" s="251"/>
    </row>
    <row r="20" spans="2:21" x14ac:dyDescent="0.25">
      <c r="B20" s="120" t="s">
        <v>56</v>
      </c>
      <c r="C20" s="246" t="e">
        <f>#REF!</f>
        <v>#REF!</v>
      </c>
      <c r="D20" s="217" t="e">
        <f>#REF!</f>
        <v>#REF!</v>
      </c>
      <c r="E20" s="132">
        <v>5.2077346983143604</v>
      </c>
      <c r="F20" s="97">
        <f>'FGP 30%'!G20</f>
        <v>15067387.240741566</v>
      </c>
      <c r="G20" s="114" t="e">
        <f t="shared" si="0"/>
        <v>#REF!</v>
      </c>
      <c r="H20" s="131" t="e">
        <f t="shared" si="1"/>
        <v>#REF!</v>
      </c>
      <c r="I20" s="285">
        <v>166912.25078355873</v>
      </c>
      <c r="J20" s="247" t="e">
        <f t="shared" si="2"/>
        <v>#REF!</v>
      </c>
      <c r="K20" s="248" t="e">
        <f t="shared" si="2"/>
        <v>#REF!</v>
      </c>
      <c r="L20" s="249" t="e">
        <f t="shared" si="3"/>
        <v>#REF!</v>
      </c>
      <c r="M20" s="252" t="e">
        <f t="shared" si="4"/>
        <v>#REF!</v>
      </c>
      <c r="N20" s="240"/>
      <c r="O20" s="240"/>
      <c r="P20" s="240"/>
      <c r="Q20" s="240"/>
      <c r="R20" s="240"/>
      <c r="S20" s="96"/>
      <c r="T20" s="240"/>
      <c r="U20" s="240"/>
    </row>
    <row r="21" spans="2:21" x14ac:dyDescent="0.25">
      <c r="B21" s="120" t="s">
        <v>57</v>
      </c>
      <c r="C21" s="246" t="e">
        <f>#REF!</f>
        <v>#REF!</v>
      </c>
      <c r="D21" s="217" t="e">
        <f>#REF!</f>
        <v>#REF!</v>
      </c>
      <c r="E21" s="132">
        <v>4.8186763914888475</v>
      </c>
      <c r="F21" s="97">
        <f>'FGP 30%'!G21</f>
        <v>17535978.466652662</v>
      </c>
      <c r="G21" s="114" t="e">
        <f t="shared" si="0"/>
        <v>#REF!</v>
      </c>
      <c r="H21" s="131" t="e">
        <f t="shared" si="1"/>
        <v>#REF!</v>
      </c>
      <c r="I21" s="285">
        <v>208036.45988467679</v>
      </c>
      <c r="J21" s="247" t="e">
        <f t="shared" si="2"/>
        <v>#REF!</v>
      </c>
      <c r="K21" s="248" t="e">
        <f t="shared" si="2"/>
        <v>#REF!</v>
      </c>
      <c r="L21" s="249" t="e">
        <f t="shared" si="3"/>
        <v>#REF!</v>
      </c>
      <c r="M21" s="252" t="e">
        <f t="shared" si="4"/>
        <v>#REF!</v>
      </c>
      <c r="N21" s="240"/>
      <c r="O21" s="240"/>
      <c r="P21" s="240"/>
      <c r="Q21" s="240"/>
      <c r="R21" s="240"/>
      <c r="S21" s="96"/>
      <c r="T21" s="240"/>
      <c r="U21" s="240"/>
    </row>
    <row r="22" spans="2:21" x14ac:dyDescent="0.25">
      <c r="B22" s="120" t="s">
        <v>58</v>
      </c>
      <c r="C22" s="246" t="e">
        <f>#REF!</f>
        <v>#REF!</v>
      </c>
      <c r="D22" s="217" t="e">
        <f>#REF!</f>
        <v>#REF!</v>
      </c>
      <c r="E22" s="132">
        <v>2.9110739805529704</v>
      </c>
      <c r="F22" s="97">
        <f>'FGP 30%'!G22</f>
        <v>17033426.106509957</v>
      </c>
      <c r="G22" s="114" t="e">
        <f t="shared" si="0"/>
        <v>#REF!</v>
      </c>
      <c r="H22" s="131" t="e">
        <f t="shared" si="1"/>
        <v>#REF!</v>
      </c>
      <c r="I22" s="285">
        <v>121434.25160385661</v>
      </c>
      <c r="J22" s="247" t="e">
        <f t="shared" si="2"/>
        <v>#REF!</v>
      </c>
      <c r="K22" s="248" t="e">
        <f t="shared" si="2"/>
        <v>#REF!</v>
      </c>
      <c r="L22" s="249" t="e">
        <f t="shared" si="3"/>
        <v>#REF!</v>
      </c>
      <c r="M22" s="252" t="e">
        <f t="shared" si="4"/>
        <v>#REF!</v>
      </c>
      <c r="N22" s="240"/>
      <c r="O22" s="240"/>
      <c r="P22" s="240"/>
      <c r="Q22" s="240"/>
      <c r="R22" s="240"/>
      <c r="S22" s="96"/>
      <c r="T22" s="240"/>
      <c r="U22" s="251"/>
    </row>
    <row r="23" spans="2:21" x14ac:dyDescent="0.25">
      <c r="B23" s="120" t="s">
        <v>59</v>
      </c>
      <c r="C23" s="246" t="e">
        <f>#REF!</f>
        <v>#REF!</v>
      </c>
      <c r="D23" s="217" t="e">
        <f>#REF!</f>
        <v>#REF!</v>
      </c>
      <c r="E23" s="132">
        <v>4.3304906658341711</v>
      </c>
      <c r="F23" s="97">
        <f>'FGP 30%'!G23</f>
        <v>14660847.566030214</v>
      </c>
      <c r="G23" s="114" t="e">
        <f t="shared" si="0"/>
        <v>#REF!</v>
      </c>
      <c r="H23" s="131" t="e">
        <f t="shared" si="1"/>
        <v>#REF!</v>
      </c>
      <c r="I23" s="285">
        <v>154393.13551406987</v>
      </c>
      <c r="J23" s="247" t="e">
        <f t="shared" si="2"/>
        <v>#REF!</v>
      </c>
      <c r="K23" s="248" t="e">
        <f t="shared" si="2"/>
        <v>#REF!</v>
      </c>
      <c r="L23" s="249" t="e">
        <f t="shared" si="3"/>
        <v>#REF!</v>
      </c>
      <c r="M23" s="252" t="e">
        <f t="shared" si="4"/>
        <v>#REF!</v>
      </c>
      <c r="N23" s="240"/>
      <c r="O23" s="240"/>
      <c r="P23" s="240"/>
      <c r="Q23" s="240"/>
      <c r="R23" s="240"/>
      <c r="S23" s="96"/>
      <c r="T23" s="240"/>
      <c r="U23" s="251"/>
    </row>
    <row r="24" spans="2:21" x14ac:dyDescent="0.25">
      <c r="B24" s="120" t="s">
        <v>60</v>
      </c>
      <c r="C24" s="246" t="e">
        <f>#REF!</f>
        <v>#REF!</v>
      </c>
      <c r="D24" s="217" t="e">
        <f>#REF!</f>
        <v>#REF!</v>
      </c>
      <c r="E24" s="132">
        <v>5.3086882085256404</v>
      </c>
      <c r="F24" s="97">
        <f>'FGP 30%'!G24</f>
        <v>27591532.401874073</v>
      </c>
      <c r="G24" s="114" t="e">
        <f t="shared" si="0"/>
        <v>#REF!</v>
      </c>
      <c r="H24" s="131" t="e">
        <f t="shared" si="1"/>
        <v>#REF!</v>
      </c>
      <c r="I24" s="285">
        <v>342815.93253579823</v>
      </c>
      <c r="J24" s="247" t="e">
        <f t="shared" si="2"/>
        <v>#REF!</v>
      </c>
      <c r="K24" s="248" t="e">
        <f t="shared" si="2"/>
        <v>#REF!</v>
      </c>
      <c r="L24" s="249" t="e">
        <f t="shared" si="3"/>
        <v>#REF!</v>
      </c>
      <c r="M24" s="252" t="e">
        <f t="shared" si="4"/>
        <v>#REF!</v>
      </c>
      <c r="N24" s="240"/>
      <c r="O24" s="240"/>
      <c r="P24" s="240"/>
      <c r="Q24" s="240"/>
      <c r="R24" s="251"/>
      <c r="S24" s="96"/>
      <c r="T24" s="240"/>
      <c r="U24" s="240"/>
    </row>
    <row r="25" spans="2:21" x14ac:dyDescent="0.25">
      <c r="B25" s="120" t="s">
        <v>61</v>
      </c>
      <c r="C25" s="246" t="e">
        <f>#REF!</f>
        <v>#REF!</v>
      </c>
      <c r="D25" s="217" t="e">
        <f>#REF!</f>
        <v>#REF!</v>
      </c>
      <c r="E25" s="132">
        <v>4.864796565169633</v>
      </c>
      <c r="F25" s="97">
        <f>'FGP 30%'!G25</f>
        <v>14354930.124609845</v>
      </c>
      <c r="G25" s="114" t="e">
        <f t="shared" si="0"/>
        <v>#REF!</v>
      </c>
      <c r="H25" s="131" t="e">
        <f t="shared" si="1"/>
        <v>#REF!</v>
      </c>
      <c r="I25" s="285">
        <v>200479.78722284615</v>
      </c>
      <c r="J25" s="247" t="e">
        <f t="shared" si="2"/>
        <v>#REF!</v>
      </c>
      <c r="K25" s="248" t="e">
        <f t="shared" si="2"/>
        <v>#REF!</v>
      </c>
      <c r="L25" s="249" t="e">
        <f t="shared" si="3"/>
        <v>#REF!</v>
      </c>
      <c r="M25" s="252" t="e">
        <f t="shared" si="4"/>
        <v>#REF!</v>
      </c>
      <c r="N25" s="240"/>
      <c r="O25" s="240"/>
      <c r="P25" s="240"/>
      <c r="Q25" s="240"/>
      <c r="R25" s="240"/>
      <c r="S25" s="96"/>
      <c r="T25" s="240"/>
      <c r="U25" s="251"/>
    </row>
    <row r="26" spans="2:21" x14ac:dyDescent="0.25">
      <c r="B26" s="120" t="s">
        <v>62</v>
      </c>
      <c r="C26" s="246" t="e">
        <f>#REF!</f>
        <v>#REF!</v>
      </c>
      <c r="D26" s="217" t="e">
        <f>#REF!</f>
        <v>#REF!</v>
      </c>
      <c r="E26" s="132">
        <v>5.7978942563195188</v>
      </c>
      <c r="F26" s="97">
        <f>'FGP 30%'!G26</f>
        <v>17170746.204462588</v>
      </c>
      <c r="G26" s="114" t="e">
        <f t="shared" si="0"/>
        <v>#REF!</v>
      </c>
      <c r="H26" s="253" t="e">
        <f t="shared" si="1"/>
        <v>#REF!</v>
      </c>
      <c r="I26" s="285">
        <v>1123889.5444337416</v>
      </c>
      <c r="J26" s="247" t="e">
        <f t="shared" si="2"/>
        <v>#REF!</v>
      </c>
      <c r="K26" s="248" t="e">
        <f t="shared" si="2"/>
        <v>#REF!</v>
      </c>
      <c r="L26" s="249" t="e">
        <f t="shared" si="3"/>
        <v>#REF!</v>
      </c>
      <c r="M26" s="252" t="e">
        <f t="shared" si="4"/>
        <v>#REF!</v>
      </c>
      <c r="N26" s="240"/>
      <c r="O26" s="240"/>
      <c r="P26" s="251"/>
      <c r="Q26" s="240"/>
      <c r="R26" s="251"/>
      <c r="S26" s="96"/>
      <c r="T26" s="240"/>
      <c r="U26" s="240"/>
    </row>
    <row r="27" spans="2:21" x14ac:dyDescent="0.25">
      <c r="B27" s="120" t="s">
        <v>63</v>
      </c>
      <c r="C27" s="246" t="e">
        <f>#REF!</f>
        <v>#REF!</v>
      </c>
      <c r="D27" s="217" t="e">
        <f>#REF!</f>
        <v>#REF!</v>
      </c>
      <c r="E27" s="132">
        <v>4.8271447622480794</v>
      </c>
      <c r="F27" s="97">
        <f>'FGP 30%'!G27</f>
        <v>21462601.381064873</v>
      </c>
      <c r="G27" s="114" t="e">
        <f t="shared" si="0"/>
        <v>#REF!</v>
      </c>
      <c r="H27" s="131" t="e">
        <f t="shared" si="1"/>
        <v>#REF!</v>
      </c>
      <c r="I27" s="285">
        <v>177060.44640841757</v>
      </c>
      <c r="J27" s="247" t="e">
        <f t="shared" si="2"/>
        <v>#REF!</v>
      </c>
      <c r="K27" s="248" t="e">
        <f t="shared" si="2"/>
        <v>#REF!</v>
      </c>
      <c r="L27" s="249" t="e">
        <f t="shared" si="3"/>
        <v>#REF!</v>
      </c>
      <c r="M27" s="252" t="e">
        <f t="shared" si="4"/>
        <v>#REF!</v>
      </c>
      <c r="N27" s="240"/>
      <c r="O27" s="240"/>
      <c r="P27" s="240"/>
      <c r="Q27" s="240"/>
      <c r="R27" s="240"/>
      <c r="S27" s="96"/>
      <c r="T27" s="240"/>
      <c r="U27" s="240"/>
    </row>
    <row r="28" spans="2:21" ht="15.75" thickBot="1" x14ac:dyDescent="0.3">
      <c r="B28" s="121" t="s">
        <v>64</v>
      </c>
      <c r="C28" s="254" t="e">
        <f>#REF!</f>
        <v>#REF!</v>
      </c>
      <c r="D28" s="255" t="e">
        <f>#REF!</f>
        <v>#REF!</v>
      </c>
      <c r="E28" s="256">
        <v>5.8205204142649469</v>
      </c>
      <c r="F28" s="257">
        <f>'FGP 30%'!G28</f>
        <v>19173320.219043363</v>
      </c>
      <c r="G28" s="258" t="e">
        <f t="shared" si="0"/>
        <v>#REF!</v>
      </c>
      <c r="H28" s="259" t="e">
        <f t="shared" si="1"/>
        <v>#REF!</v>
      </c>
      <c r="I28" s="286">
        <v>236350.17226942629</v>
      </c>
      <c r="J28" s="260" t="e">
        <f t="shared" si="2"/>
        <v>#REF!</v>
      </c>
      <c r="K28" s="261" t="e">
        <f t="shared" si="2"/>
        <v>#REF!</v>
      </c>
      <c r="L28" s="262" t="e">
        <f t="shared" si="3"/>
        <v>#REF!</v>
      </c>
      <c r="M28" s="263" t="e">
        <f t="shared" si="4"/>
        <v>#REF!</v>
      </c>
      <c r="N28" s="240"/>
      <c r="O28" s="240"/>
      <c r="P28" s="240"/>
      <c r="Q28" s="240"/>
      <c r="R28" s="240"/>
      <c r="S28" s="96"/>
      <c r="T28" s="240"/>
      <c r="U28" s="251"/>
    </row>
    <row r="29" spans="2:21" ht="15.75" thickBot="1" x14ac:dyDescent="0.3">
      <c r="B29" s="264" t="s">
        <v>65</v>
      </c>
      <c r="C29" s="265" t="e">
        <f t="shared" ref="C29:M29" si="5">SUM(C9:C28)</f>
        <v>#REF!</v>
      </c>
      <c r="D29" s="266" t="e">
        <f t="shared" si="5"/>
        <v>#REF!</v>
      </c>
      <c r="E29" s="283">
        <f t="shared" si="5"/>
        <v>100.00000000000003</v>
      </c>
      <c r="F29" s="48">
        <f t="shared" si="5"/>
        <v>368189998.13249993</v>
      </c>
      <c r="G29" s="49" t="e">
        <f t="shared" si="5"/>
        <v>#REF!</v>
      </c>
      <c r="H29" s="284" t="e">
        <f>SUM(H9:H28)</f>
        <v>#REF!</v>
      </c>
      <c r="I29" s="267"/>
      <c r="J29" s="268" t="e">
        <f>SUM(J9:J28)</f>
        <v>#REF!</v>
      </c>
      <c r="K29" s="269" t="e">
        <f t="shared" si="5"/>
        <v>#REF!</v>
      </c>
      <c r="L29" s="270" t="e">
        <f>SUM(L9:L28)</f>
        <v>#REF!</v>
      </c>
      <c r="M29" s="271" t="e">
        <f t="shared" si="5"/>
        <v>#REF!</v>
      </c>
      <c r="N29" s="240"/>
      <c r="O29" s="240"/>
      <c r="P29" s="240"/>
      <c r="Q29" s="240"/>
      <c r="R29" s="240"/>
      <c r="S29" s="272"/>
      <c r="T29" s="240"/>
      <c r="U29" s="240"/>
    </row>
    <row r="30" spans="2:21" x14ac:dyDescent="0.25">
      <c r="B30" s="8" t="s">
        <v>213</v>
      </c>
      <c r="C30" s="8"/>
      <c r="D30" s="8"/>
      <c r="E30" s="8"/>
      <c r="F30" s="8"/>
      <c r="G30" s="8"/>
      <c r="H30" s="8"/>
      <c r="I30" s="8"/>
      <c r="J30" s="8"/>
      <c r="K30" s="57"/>
      <c r="L30" s="57"/>
      <c r="M30" s="240"/>
      <c r="N30" s="8"/>
      <c r="O30" s="8"/>
      <c r="P30" s="8"/>
      <c r="Q30" s="8"/>
      <c r="R30" s="8"/>
      <c r="S30" s="8"/>
      <c r="T30" s="8"/>
      <c r="U30" s="8"/>
    </row>
    <row r="31" spans="2:21" x14ac:dyDescent="0.25">
      <c r="B31" s="8" t="s">
        <v>214</v>
      </c>
      <c r="C31" s="8"/>
      <c r="D31" s="8"/>
      <c r="E31" s="8"/>
      <c r="F31" s="240"/>
      <c r="G31" s="8"/>
      <c r="H31" s="8"/>
      <c r="I31" s="8"/>
      <c r="J31" s="8"/>
      <c r="K31" s="57"/>
      <c r="L31" s="57"/>
      <c r="M31" s="8"/>
      <c r="N31" s="8"/>
      <c r="O31" s="8"/>
      <c r="P31" s="8"/>
      <c r="Q31" s="8"/>
      <c r="R31" s="8"/>
      <c r="S31" s="8"/>
      <c r="T31" s="8"/>
      <c r="U31" s="8"/>
    </row>
    <row r="32" spans="2:21" x14ac:dyDescent="0.25">
      <c r="B32" s="8"/>
      <c r="C32" s="8"/>
      <c r="D32" s="273"/>
      <c r="E32" s="8"/>
      <c r="F32" s="8"/>
      <c r="G32" s="8"/>
      <c r="H32" s="8"/>
      <c r="I32" s="105">
        <f>SUM(I9:I28)</f>
        <v>4921983.8999999026</v>
      </c>
      <c r="J32" s="8"/>
      <c r="K32" s="57"/>
      <c r="L32" s="57"/>
      <c r="M32" s="8"/>
      <c r="N32" s="8"/>
      <c r="O32" s="8"/>
      <c r="P32" s="8"/>
      <c r="Q32" s="8"/>
      <c r="R32" s="8"/>
      <c r="S32" s="8"/>
      <c r="T32" s="8"/>
      <c r="U32" s="8"/>
    </row>
    <row r="33" spans="2:6" hidden="1" x14ac:dyDescent="0.25">
      <c r="B33" s="8"/>
      <c r="C33" s="8"/>
      <c r="D33" s="8"/>
      <c r="E33" s="8"/>
      <c r="F33" s="8"/>
    </row>
    <row r="34" spans="2:6" hidden="1" x14ac:dyDescent="0.25">
      <c r="B34" s="1170" t="s">
        <v>215</v>
      </c>
      <c r="C34" s="1170"/>
      <c r="D34" s="1170"/>
      <c r="E34" s="8"/>
      <c r="F34" s="8"/>
    </row>
    <row r="35" spans="2:6" ht="15" hidden="1" customHeight="1" x14ac:dyDescent="0.25">
      <c r="B35" s="1322" t="s">
        <v>216</v>
      </c>
      <c r="C35" s="1323" t="s">
        <v>24</v>
      </c>
      <c r="D35" s="1323"/>
      <c r="E35" s="8"/>
      <c r="F35" s="8"/>
    </row>
    <row r="36" spans="2:6" hidden="1" x14ac:dyDescent="0.25">
      <c r="B36" s="1322"/>
      <c r="C36" s="201" t="s">
        <v>217</v>
      </c>
      <c r="D36" s="201" t="s">
        <v>218</v>
      </c>
      <c r="E36" s="8"/>
      <c r="F36" s="8"/>
    </row>
    <row r="37" spans="2:6" hidden="1" x14ac:dyDescent="0.25">
      <c r="B37" s="274" t="s">
        <v>45</v>
      </c>
      <c r="C37" s="162">
        <v>29974.498347254703</v>
      </c>
      <c r="D37" s="162">
        <v>15215.818184990858</v>
      </c>
      <c r="E37" s="113"/>
      <c r="F37" s="114"/>
    </row>
    <row r="38" spans="2:6" hidden="1" x14ac:dyDescent="0.25">
      <c r="B38" s="274" t="s">
        <v>46</v>
      </c>
      <c r="C38" s="162">
        <v>52680.591327376627</v>
      </c>
      <c r="D38" s="162">
        <v>21399.49763849939</v>
      </c>
      <c r="E38" s="113"/>
      <c r="F38" s="114"/>
    </row>
    <row r="39" spans="2:6" hidden="1" x14ac:dyDescent="0.25">
      <c r="B39" s="274" t="s">
        <v>47</v>
      </c>
      <c r="C39" s="162">
        <v>98033.370647845295</v>
      </c>
      <c r="D39" s="162">
        <v>21647.119796160252</v>
      </c>
      <c r="E39" s="113"/>
      <c r="F39" s="114"/>
    </row>
    <row r="40" spans="2:6" hidden="1" x14ac:dyDescent="0.25">
      <c r="B40" s="274" t="s">
        <v>48</v>
      </c>
      <c r="C40" s="162">
        <v>21399.49763849939</v>
      </c>
      <c r="D40" s="162">
        <v>25965.384823886736</v>
      </c>
      <c r="E40" s="113"/>
      <c r="F40" s="114"/>
    </row>
    <row r="41" spans="2:6" hidden="1" x14ac:dyDescent="0.25">
      <c r="B41" s="274" t="s">
        <v>49</v>
      </c>
      <c r="C41" s="162">
        <v>25965.384823886736</v>
      </c>
      <c r="D41" s="162">
        <v>27212.070679317905</v>
      </c>
      <c r="E41" s="113"/>
      <c r="F41" s="114"/>
    </row>
    <row r="42" spans="2:6" hidden="1" x14ac:dyDescent="0.25">
      <c r="B42" s="274" t="s">
        <v>50</v>
      </c>
      <c r="C42" s="162">
        <v>37003.826900566906</v>
      </c>
      <c r="D42" s="162">
        <v>29974.498347254703</v>
      </c>
      <c r="E42" s="113"/>
      <c r="F42" s="114"/>
    </row>
    <row r="43" spans="2:6" hidden="1" x14ac:dyDescent="0.25">
      <c r="B43" s="274" t="s">
        <v>51</v>
      </c>
      <c r="C43" s="162">
        <v>79580.165950345632</v>
      </c>
      <c r="D43" s="162">
        <v>32584.151507048995</v>
      </c>
      <c r="E43" s="113"/>
      <c r="F43" s="114"/>
    </row>
    <row r="44" spans="2:6" hidden="1" x14ac:dyDescent="0.25">
      <c r="B44" s="274" t="s">
        <v>52</v>
      </c>
      <c r="C44" s="162">
        <v>33772.177205488624</v>
      </c>
      <c r="D44" s="162">
        <v>33772.177205488624</v>
      </c>
      <c r="E44" s="113"/>
      <c r="F44" s="114"/>
    </row>
    <row r="45" spans="2:6" hidden="1" x14ac:dyDescent="0.25">
      <c r="B45" s="274" t="s">
        <v>53</v>
      </c>
      <c r="C45" s="162">
        <v>45225.633132002353</v>
      </c>
      <c r="D45" s="162">
        <v>36708.177999525833</v>
      </c>
      <c r="E45" s="113"/>
      <c r="F45" s="114"/>
    </row>
    <row r="46" spans="2:6" hidden="1" x14ac:dyDescent="0.25">
      <c r="B46" s="274" t="s">
        <v>54</v>
      </c>
      <c r="C46" s="162">
        <v>63112.329754147126</v>
      </c>
      <c r="D46" s="162">
        <v>37003.826900566906</v>
      </c>
      <c r="E46" s="113"/>
      <c r="F46" s="114"/>
    </row>
    <row r="47" spans="2:6" hidden="1" x14ac:dyDescent="0.25">
      <c r="B47" s="274" t="s">
        <v>55</v>
      </c>
      <c r="C47" s="162">
        <v>39704.639733971853</v>
      </c>
      <c r="D47" s="162">
        <v>39704.639733971853</v>
      </c>
      <c r="E47" s="113"/>
      <c r="F47" s="114"/>
    </row>
    <row r="48" spans="2:6" hidden="1" x14ac:dyDescent="0.25">
      <c r="B48" s="274" t="s">
        <v>56</v>
      </c>
      <c r="C48" s="162">
        <v>44506.829771857942</v>
      </c>
      <c r="D48" s="162">
        <v>43192.395279627446</v>
      </c>
      <c r="E48" s="113"/>
      <c r="F48" s="114"/>
    </row>
    <row r="49" spans="2:12" hidden="1" x14ac:dyDescent="0.25">
      <c r="B49" s="274" t="s">
        <v>57</v>
      </c>
      <c r="C49" s="162">
        <v>32584.151507048995</v>
      </c>
      <c r="D49" s="162">
        <v>44506.829771857942</v>
      </c>
      <c r="E49" s="113"/>
      <c r="F49" s="114"/>
      <c r="G49" s="8"/>
      <c r="H49" s="8"/>
      <c r="I49" s="8"/>
      <c r="J49" s="8"/>
      <c r="K49" s="57"/>
      <c r="L49" s="57"/>
    </row>
    <row r="50" spans="2:12" hidden="1" x14ac:dyDescent="0.25">
      <c r="B50" s="274" t="s">
        <v>58</v>
      </c>
      <c r="C50" s="162">
        <v>268831.41005360917</v>
      </c>
      <c r="D50" s="162">
        <v>45225.633132002353</v>
      </c>
      <c r="E50" s="113"/>
      <c r="F50" s="114"/>
      <c r="G50" s="8"/>
      <c r="H50" s="8"/>
      <c r="I50" s="8"/>
      <c r="J50" s="8"/>
      <c r="K50" s="57"/>
      <c r="L50" s="57"/>
    </row>
    <row r="51" spans="2:12" hidden="1" x14ac:dyDescent="0.25">
      <c r="B51" s="274" t="s">
        <v>59</v>
      </c>
      <c r="C51" s="162">
        <v>46347.41126647652</v>
      </c>
      <c r="D51" s="162">
        <v>46347.41126647652</v>
      </c>
      <c r="E51" s="113"/>
      <c r="F51" s="114"/>
      <c r="G51" s="8"/>
      <c r="H51" s="8"/>
      <c r="I51" s="8"/>
      <c r="J51" s="8"/>
      <c r="K51" s="57"/>
      <c r="L51" s="57"/>
    </row>
    <row r="52" spans="2:12" hidden="1" x14ac:dyDescent="0.25">
      <c r="B52" s="274" t="s">
        <v>60</v>
      </c>
      <c r="C52" s="162">
        <v>21647.119796160252</v>
      </c>
      <c r="D52" s="162">
        <v>52680.591327376627</v>
      </c>
      <c r="E52" s="113"/>
      <c r="F52" s="114"/>
      <c r="G52" s="8"/>
      <c r="H52" s="8"/>
      <c r="I52" s="8"/>
      <c r="J52" s="8"/>
      <c r="K52" s="57"/>
      <c r="L52" s="57"/>
    </row>
    <row r="53" spans="2:12" hidden="1" x14ac:dyDescent="0.25">
      <c r="B53" s="274" t="s">
        <v>61</v>
      </c>
      <c r="C53" s="162">
        <v>36708.177999525833</v>
      </c>
      <c r="D53" s="162">
        <v>63112.329754147126</v>
      </c>
      <c r="E53" s="113"/>
      <c r="F53" s="114"/>
      <c r="G53" s="8"/>
      <c r="H53" s="8"/>
      <c r="I53" s="8"/>
      <c r="J53" s="8"/>
      <c r="K53" s="57"/>
      <c r="L53" s="57"/>
    </row>
    <row r="54" spans="2:12" hidden="1" x14ac:dyDescent="0.25">
      <c r="B54" s="274" t="s">
        <v>62</v>
      </c>
      <c r="C54" s="162">
        <v>15215.818184990858</v>
      </c>
      <c r="D54" s="162">
        <v>79580.165950345632</v>
      </c>
      <c r="E54" s="113"/>
      <c r="F54" s="114"/>
      <c r="G54" s="8"/>
      <c r="H54" s="8"/>
      <c r="I54" s="8"/>
      <c r="J54" s="8"/>
      <c r="K54" s="57"/>
      <c r="L54" s="57"/>
    </row>
    <row r="55" spans="2:12" hidden="1" x14ac:dyDescent="0.25">
      <c r="B55" s="274" t="s">
        <v>63</v>
      </c>
      <c r="C55" s="162">
        <v>43192.395279627446</v>
      </c>
      <c r="D55" s="162">
        <v>98033.370647845295</v>
      </c>
      <c r="E55" s="113"/>
      <c r="F55" s="114"/>
      <c r="G55" s="8"/>
      <c r="H55" s="8"/>
      <c r="I55" s="8"/>
      <c r="J55" s="8"/>
      <c r="K55" s="57"/>
      <c r="L55" s="57"/>
    </row>
    <row r="56" spans="2:12" hidden="1" x14ac:dyDescent="0.25">
      <c r="B56" s="274" t="s">
        <v>64</v>
      </c>
      <c r="C56" s="162">
        <v>27212.070679317905</v>
      </c>
      <c r="D56" s="162">
        <v>268831.41005360917</v>
      </c>
      <c r="E56" s="113"/>
      <c r="F56" s="114"/>
      <c r="G56" s="8"/>
      <c r="H56" s="8"/>
      <c r="I56" s="8"/>
      <c r="J56" s="8"/>
      <c r="K56" s="57"/>
      <c r="L56" s="57"/>
    </row>
    <row r="57" spans="2:12" hidden="1" x14ac:dyDescent="0.25">
      <c r="B57" s="274" t="s">
        <v>82</v>
      </c>
      <c r="C57" s="162">
        <f>SUM(C37:C56)</f>
        <v>1062697.5000000002</v>
      </c>
      <c r="D57" s="162">
        <f>SUM(D37:D56)</f>
        <v>1062697.5000000002</v>
      </c>
      <c r="E57" s="113"/>
      <c r="F57" s="123"/>
      <c r="G57" s="8"/>
      <c r="H57" s="8"/>
      <c r="I57" s="8"/>
      <c r="J57" s="8"/>
      <c r="K57" s="57"/>
      <c r="L57" s="57"/>
    </row>
    <row r="58" spans="2:12" hidden="1" x14ac:dyDescent="0.25">
      <c r="B58" s="8"/>
      <c r="C58" s="8"/>
      <c r="D58" s="8"/>
      <c r="E58" s="8"/>
      <c r="F58" s="8"/>
      <c r="G58" s="8"/>
      <c r="H58" s="8"/>
      <c r="I58" s="8"/>
      <c r="J58" s="8"/>
      <c r="K58" s="57"/>
      <c r="L58" s="57"/>
    </row>
    <row r="59" spans="2:12" x14ac:dyDescent="0.25">
      <c r="C59" s="8"/>
      <c r="D59" s="8"/>
      <c r="E59" s="8"/>
      <c r="F59" s="8"/>
      <c r="G59" s="8"/>
      <c r="H59" s="8"/>
      <c r="I59" s="8"/>
      <c r="J59" s="8"/>
      <c r="K59" s="57"/>
      <c r="L59" s="57"/>
    </row>
    <row r="60" spans="2:12" x14ac:dyDescent="0.25">
      <c r="B60" s="8"/>
      <c r="C60" s="8"/>
      <c r="D60" s="8"/>
      <c r="E60" s="8"/>
      <c r="F60" s="8"/>
      <c r="G60" s="8"/>
      <c r="H60" s="8"/>
      <c r="I60" s="8"/>
      <c r="J60" s="8"/>
      <c r="K60" s="57"/>
      <c r="L60" s="57"/>
    </row>
    <row r="61" spans="2:12" ht="15.75" hidden="1" x14ac:dyDescent="0.25">
      <c r="B61" s="1001" t="s">
        <v>111</v>
      </c>
      <c r="C61" s="1001"/>
      <c r="D61" s="1001"/>
      <c r="E61" s="1001"/>
      <c r="F61" s="1001"/>
      <c r="G61" s="1001"/>
      <c r="H61" s="1001"/>
      <c r="I61" s="199"/>
      <c r="J61" s="199"/>
      <c r="K61" s="200"/>
      <c r="L61" s="200"/>
    </row>
    <row r="62" spans="2:12" hidden="1" x14ac:dyDescent="0.25">
      <c r="B62" s="8"/>
      <c r="C62" s="8"/>
      <c r="D62" s="8"/>
      <c r="E62" s="8"/>
      <c r="F62" s="8"/>
      <c r="G62" s="8"/>
      <c r="H62" s="8"/>
      <c r="I62" s="8"/>
      <c r="J62" s="8"/>
      <c r="K62" s="57"/>
      <c r="L62" s="57"/>
    </row>
    <row r="63" spans="2:12" hidden="1" x14ac:dyDescent="0.25">
      <c r="B63" s="1319" t="s">
        <v>83</v>
      </c>
      <c r="C63" s="86" t="s">
        <v>84</v>
      </c>
      <c r="D63" s="86" t="s">
        <v>20</v>
      </c>
      <c r="E63" s="106" t="s">
        <v>113</v>
      </c>
      <c r="F63" s="106" t="s">
        <v>82</v>
      </c>
      <c r="G63" s="86" t="s">
        <v>114</v>
      </c>
      <c r="H63" s="86" t="s">
        <v>115</v>
      </c>
      <c r="I63" s="202"/>
      <c r="J63" s="202"/>
      <c r="K63" s="57"/>
      <c r="L63" s="57"/>
    </row>
    <row r="64" spans="2:12" hidden="1" x14ac:dyDescent="0.25">
      <c r="B64" s="1129"/>
      <c r="C64" s="13" t="s">
        <v>87</v>
      </c>
      <c r="D64" s="13" t="s">
        <v>30</v>
      </c>
      <c r="E64" s="107" t="s">
        <v>117</v>
      </c>
      <c r="F64" s="107" t="s">
        <v>219</v>
      </c>
      <c r="G64" s="13" t="s">
        <v>119</v>
      </c>
      <c r="H64" s="13" t="s">
        <v>120</v>
      </c>
      <c r="I64" s="202"/>
      <c r="J64" s="202"/>
      <c r="K64" s="57"/>
      <c r="L64" s="57"/>
    </row>
    <row r="65" spans="2:10" hidden="1" x14ac:dyDescent="0.25">
      <c r="B65" s="1129"/>
      <c r="C65" s="108">
        <v>2014</v>
      </c>
      <c r="D65" s="108" t="s">
        <v>36</v>
      </c>
      <c r="E65" s="107">
        <v>2015</v>
      </c>
      <c r="F65" s="107" t="s">
        <v>124</v>
      </c>
      <c r="G65" s="13">
        <v>2014</v>
      </c>
      <c r="H65" s="13" t="s">
        <v>125</v>
      </c>
      <c r="I65" s="202"/>
      <c r="J65" s="202"/>
    </row>
    <row r="66" spans="2:10" hidden="1" x14ac:dyDescent="0.25">
      <c r="B66" s="1320"/>
      <c r="C66" s="109" t="s">
        <v>70</v>
      </c>
      <c r="D66" s="109" t="s">
        <v>92</v>
      </c>
      <c r="E66" s="109" t="s">
        <v>71</v>
      </c>
      <c r="F66" s="109" t="s">
        <v>93</v>
      </c>
      <c r="G66" s="109" t="s">
        <v>73</v>
      </c>
      <c r="H66" s="109" t="s">
        <v>95</v>
      </c>
      <c r="I66" s="130"/>
      <c r="J66" s="130"/>
    </row>
    <row r="67" spans="2:10" hidden="1" x14ac:dyDescent="0.25">
      <c r="B67" s="110" t="s">
        <v>45</v>
      </c>
      <c r="C67" s="111">
        <v>3.62</v>
      </c>
      <c r="D67" s="275">
        <f>[6]Datos!I$13*C67%</f>
        <v>35350314.182820007</v>
      </c>
      <c r="E67" s="240" t="e">
        <f>M9</f>
        <v>#REF!</v>
      </c>
      <c r="F67" s="139" t="e">
        <f>D67+E67</f>
        <v>#REF!</v>
      </c>
      <c r="G67" s="139" t="e">
        <f>F$87*C67%</f>
        <v>#REF!</v>
      </c>
      <c r="H67" s="276" t="e">
        <f>F67-G67</f>
        <v>#REF!</v>
      </c>
      <c r="I67" s="276"/>
      <c r="J67" s="276"/>
    </row>
    <row r="68" spans="2:10" hidden="1" x14ac:dyDescent="0.25">
      <c r="B68" s="113" t="s">
        <v>46</v>
      </c>
      <c r="C68" s="96">
        <v>2.4700000000000002</v>
      </c>
      <c r="D68" s="277">
        <f>[6]Datos!I$13*C68%</f>
        <v>24120241.997670002</v>
      </c>
      <c r="E68" s="240" t="e">
        <f t="shared" ref="E68:E87" si="6">M10</f>
        <v>#REF!</v>
      </c>
      <c r="F68" s="139" t="e">
        <f t="shared" ref="F68:F87" si="7">D68+E68</f>
        <v>#REF!</v>
      </c>
      <c r="G68" s="139" t="e">
        <f t="shared" ref="G68:G87" si="8">F$87*C68%</f>
        <v>#REF!</v>
      </c>
      <c r="H68" s="276" t="e">
        <f t="shared" ref="H68:H86" si="9">F68-G68</f>
        <v>#REF!</v>
      </c>
      <c r="I68" s="276"/>
      <c r="J68" s="276"/>
    </row>
    <row r="69" spans="2:10" hidden="1" x14ac:dyDescent="0.25">
      <c r="B69" s="113" t="s">
        <v>47</v>
      </c>
      <c r="C69" s="96">
        <v>2.33</v>
      </c>
      <c r="D69" s="277">
        <f>[6]Datos!I$13*C69%</f>
        <v>22753102.77513</v>
      </c>
      <c r="E69" s="240" t="e">
        <f t="shared" si="6"/>
        <v>#REF!</v>
      </c>
      <c r="F69" s="139" t="e">
        <f t="shared" si="7"/>
        <v>#REF!</v>
      </c>
      <c r="G69" s="139" t="e">
        <f t="shared" si="8"/>
        <v>#REF!</v>
      </c>
      <c r="H69" s="276" t="e">
        <f t="shared" si="9"/>
        <v>#REF!</v>
      </c>
      <c r="I69" s="276"/>
      <c r="J69" s="276"/>
    </row>
    <row r="70" spans="2:10" hidden="1" x14ac:dyDescent="0.25">
      <c r="B70" s="113" t="s">
        <v>48</v>
      </c>
      <c r="C70" s="96">
        <v>2.81</v>
      </c>
      <c r="D70" s="277">
        <f>[6]Datos!I$13*C70%</f>
        <v>27440437.252410002</v>
      </c>
      <c r="E70" s="240" t="e">
        <f t="shared" si="6"/>
        <v>#REF!</v>
      </c>
      <c r="F70" s="139" t="e">
        <f t="shared" si="7"/>
        <v>#REF!</v>
      </c>
      <c r="G70" s="139" t="e">
        <f t="shared" si="8"/>
        <v>#REF!</v>
      </c>
      <c r="H70" s="276" t="e">
        <f t="shared" si="9"/>
        <v>#REF!</v>
      </c>
      <c r="I70" s="276"/>
      <c r="J70" s="276"/>
    </row>
    <row r="71" spans="2:10" hidden="1" x14ac:dyDescent="0.25">
      <c r="B71" s="113" t="s">
        <v>49</v>
      </c>
      <c r="C71" s="96">
        <v>4.6399999999999997</v>
      </c>
      <c r="D71" s="277">
        <f>[6]Datos!I$13*C71%</f>
        <v>45310899.947039999</v>
      </c>
      <c r="E71" s="240" t="e">
        <f t="shared" si="6"/>
        <v>#REF!</v>
      </c>
      <c r="F71" s="139" t="e">
        <f t="shared" si="7"/>
        <v>#REF!</v>
      </c>
      <c r="G71" s="139" t="e">
        <f t="shared" si="8"/>
        <v>#REF!</v>
      </c>
      <c r="H71" s="276" t="e">
        <f t="shared" si="9"/>
        <v>#REF!</v>
      </c>
      <c r="I71" s="276"/>
      <c r="J71" s="276"/>
    </row>
    <row r="72" spans="2:10" hidden="1" x14ac:dyDescent="0.25">
      <c r="B72" s="113" t="s">
        <v>50</v>
      </c>
      <c r="C72" s="96">
        <v>1.5</v>
      </c>
      <c r="D72" s="277">
        <f>[6]Datos!I$13*C72%</f>
        <v>14647920.2415</v>
      </c>
      <c r="E72" s="240" t="e">
        <f t="shared" si="6"/>
        <v>#REF!</v>
      </c>
      <c r="F72" s="139" t="e">
        <f t="shared" si="7"/>
        <v>#REF!</v>
      </c>
      <c r="G72" s="139" t="e">
        <f t="shared" si="8"/>
        <v>#REF!</v>
      </c>
      <c r="H72" s="276" t="e">
        <f t="shared" si="9"/>
        <v>#REF!</v>
      </c>
      <c r="I72" s="276"/>
      <c r="J72" s="276"/>
    </row>
    <row r="73" spans="2:10" hidden="1" x14ac:dyDescent="0.25">
      <c r="B73" s="113" t="s">
        <v>51</v>
      </c>
      <c r="C73" s="96">
        <v>1.53</v>
      </c>
      <c r="D73" s="277">
        <f>[6]Datos!I$13*C73%</f>
        <v>14940878.646330001</v>
      </c>
      <c r="E73" s="240" t="e">
        <f t="shared" si="6"/>
        <v>#REF!</v>
      </c>
      <c r="F73" s="139" t="e">
        <f t="shared" si="7"/>
        <v>#REF!</v>
      </c>
      <c r="G73" s="139" t="e">
        <f t="shared" si="8"/>
        <v>#REF!</v>
      </c>
      <c r="H73" s="276" t="e">
        <f t="shared" si="9"/>
        <v>#REF!</v>
      </c>
      <c r="I73" s="276"/>
      <c r="J73" s="276"/>
    </row>
    <row r="74" spans="2:10" hidden="1" x14ac:dyDescent="0.25">
      <c r="B74" s="113" t="s">
        <v>52</v>
      </c>
      <c r="C74" s="96">
        <v>3.16</v>
      </c>
      <c r="D74" s="277">
        <f>[6]Datos!I$13*C74%</f>
        <v>30858285.308760002</v>
      </c>
      <c r="E74" s="240" t="e">
        <f t="shared" si="6"/>
        <v>#REF!</v>
      </c>
      <c r="F74" s="139" t="e">
        <f t="shared" si="7"/>
        <v>#REF!</v>
      </c>
      <c r="G74" s="139" t="e">
        <f t="shared" si="8"/>
        <v>#REF!</v>
      </c>
      <c r="H74" s="276" t="e">
        <f t="shared" si="9"/>
        <v>#REF!</v>
      </c>
      <c r="I74" s="276"/>
      <c r="J74" s="276"/>
    </row>
    <row r="75" spans="2:10" hidden="1" x14ac:dyDescent="0.25">
      <c r="B75" s="113" t="s">
        <v>53</v>
      </c>
      <c r="C75" s="96">
        <v>2.81</v>
      </c>
      <c r="D75" s="277">
        <f>[6]Datos!I$13*C75%</f>
        <v>27440437.252410002</v>
      </c>
      <c r="E75" s="240" t="e">
        <f t="shared" si="6"/>
        <v>#REF!</v>
      </c>
      <c r="F75" s="139" t="e">
        <f t="shared" si="7"/>
        <v>#REF!</v>
      </c>
      <c r="G75" s="139" t="e">
        <f t="shared" si="8"/>
        <v>#REF!</v>
      </c>
      <c r="H75" s="276" t="e">
        <f t="shared" si="9"/>
        <v>#REF!</v>
      </c>
      <c r="I75" s="276"/>
      <c r="J75" s="276"/>
    </row>
    <row r="76" spans="2:10" hidden="1" x14ac:dyDescent="0.25">
      <c r="B76" s="113" t="s">
        <v>54</v>
      </c>
      <c r="C76" s="96">
        <v>1.6</v>
      </c>
      <c r="D76" s="277">
        <f>[6]Datos!I$13*C76%</f>
        <v>15624448.2576</v>
      </c>
      <c r="E76" s="240" t="e">
        <f t="shared" si="6"/>
        <v>#REF!</v>
      </c>
      <c r="F76" s="139" t="e">
        <f t="shared" si="7"/>
        <v>#REF!</v>
      </c>
      <c r="G76" s="139" t="e">
        <f t="shared" si="8"/>
        <v>#REF!</v>
      </c>
      <c r="H76" s="276" t="e">
        <f t="shared" si="9"/>
        <v>#REF!</v>
      </c>
      <c r="I76" s="276"/>
      <c r="J76" s="276"/>
    </row>
    <row r="77" spans="2:10" hidden="1" x14ac:dyDescent="0.25">
      <c r="B77" s="113" t="s">
        <v>55</v>
      </c>
      <c r="C77" s="96">
        <v>2.84</v>
      </c>
      <c r="D77" s="277">
        <f>[6]Datos!I$13*C77%</f>
        <v>27733395.65724</v>
      </c>
      <c r="E77" s="240" t="e">
        <f t="shared" si="6"/>
        <v>#REF!</v>
      </c>
      <c r="F77" s="139" t="e">
        <f t="shared" si="7"/>
        <v>#REF!</v>
      </c>
      <c r="G77" s="139" t="e">
        <f t="shared" si="8"/>
        <v>#REF!</v>
      </c>
      <c r="H77" s="276" t="e">
        <f t="shared" si="9"/>
        <v>#REF!</v>
      </c>
      <c r="I77" s="276"/>
      <c r="J77" s="276"/>
    </row>
    <row r="78" spans="2:10" hidden="1" x14ac:dyDescent="0.25">
      <c r="B78" s="113" t="s">
        <v>56</v>
      </c>
      <c r="C78" s="96">
        <v>3.33</v>
      </c>
      <c r="D78" s="277">
        <f>[6]Datos!I$13*C78%</f>
        <v>32518382.936130002</v>
      </c>
      <c r="E78" s="240" t="e">
        <f t="shared" si="6"/>
        <v>#REF!</v>
      </c>
      <c r="F78" s="139" t="e">
        <f t="shared" si="7"/>
        <v>#REF!</v>
      </c>
      <c r="G78" s="139" t="e">
        <f t="shared" si="8"/>
        <v>#REF!</v>
      </c>
      <c r="H78" s="278" t="e">
        <f t="shared" si="9"/>
        <v>#REF!</v>
      </c>
      <c r="I78" s="278"/>
      <c r="J78" s="278"/>
    </row>
    <row r="79" spans="2:10" hidden="1" x14ac:dyDescent="0.25">
      <c r="B79" s="113" t="s">
        <v>57</v>
      </c>
      <c r="C79" s="96">
        <v>4.6900000000000004</v>
      </c>
      <c r="D79" s="277">
        <f>[6]Datos!I$13*C79%</f>
        <v>45799163.955090009</v>
      </c>
      <c r="E79" s="240" t="e">
        <f t="shared" si="6"/>
        <v>#REF!</v>
      </c>
      <c r="F79" s="139" t="e">
        <f t="shared" si="7"/>
        <v>#REF!</v>
      </c>
      <c r="G79" s="139" t="e">
        <f t="shared" si="8"/>
        <v>#REF!</v>
      </c>
      <c r="H79" s="278" t="e">
        <f t="shared" si="9"/>
        <v>#REF!</v>
      </c>
      <c r="I79" s="278"/>
      <c r="J79" s="278"/>
    </row>
    <row r="80" spans="2:10" hidden="1" x14ac:dyDescent="0.25">
      <c r="B80" s="113" t="s">
        <v>58</v>
      </c>
      <c r="C80" s="96">
        <v>2.13</v>
      </c>
      <c r="D80" s="277">
        <f>[6]Datos!I$13*C80%</f>
        <v>20800046.742929999</v>
      </c>
      <c r="E80" s="240" t="e">
        <f t="shared" si="6"/>
        <v>#REF!</v>
      </c>
      <c r="F80" s="139" t="e">
        <f t="shared" si="7"/>
        <v>#REF!</v>
      </c>
      <c r="G80" s="139" t="e">
        <f t="shared" si="8"/>
        <v>#REF!</v>
      </c>
      <c r="H80" s="276" t="e">
        <f t="shared" si="9"/>
        <v>#REF!</v>
      </c>
      <c r="I80" s="276"/>
      <c r="J80" s="276"/>
    </row>
    <row r="81" spans="2:10" hidden="1" x14ac:dyDescent="0.25">
      <c r="B81" s="113" t="s">
        <v>59</v>
      </c>
      <c r="C81" s="96">
        <v>2.81</v>
      </c>
      <c r="D81" s="277">
        <f>[6]Datos!I$13*C81%</f>
        <v>27440437.252410002</v>
      </c>
      <c r="E81" s="240" t="e">
        <f t="shared" si="6"/>
        <v>#REF!</v>
      </c>
      <c r="F81" s="139" t="e">
        <f t="shared" si="7"/>
        <v>#REF!</v>
      </c>
      <c r="G81" s="139" t="e">
        <f t="shared" si="8"/>
        <v>#REF!</v>
      </c>
      <c r="H81" s="276" t="e">
        <f t="shared" si="9"/>
        <v>#REF!</v>
      </c>
      <c r="I81" s="276"/>
      <c r="J81" s="276"/>
    </row>
    <row r="82" spans="2:10" hidden="1" x14ac:dyDescent="0.25">
      <c r="B82" s="113" t="s">
        <v>60</v>
      </c>
      <c r="C82" s="96">
        <v>8.34</v>
      </c>
      <c r="D82" s="277">
        <f>[6]Datos!I$13*C82%</f>
        <v>81442436.542740002</v>
      </c>
      <c r="E82" s="240" t="e">
        <f t="shared" si="6"/>
        <v>#REF!</v>
      </c>
      <c r="F82" s="139" t="e">
        <f t="shared" si="7"/>
        <v>#REF!</v>
      </c>
      <c r="G82" s="139" t="e">
        <f t="shared" si="8"/>
        <v>#REF!</v>
      </c>
      <c r="H82" s="278" t="e">
        <f t="shared" si="9"/>
        <v>#REF!</v>
      </c>
      <c r="I82" s="278"/>
      <c r="J82" s="278"/>
    </row>
    <row r="83" spans="2:10" hidden="1" x14ac:dyDescent="0.25">
      <c r="B83" s="113" t="s">
        <v>61</v>
      </c>
      <c r="C83" s="96">
        <v>3.5</v>
      </c>
      <c r="D83" s="277">
        <f>[6]Datos!I$13*C83%</f>
        <v>34178480.563500002</v>
      </c>
      <c r="E83" s="240" t="e">
        <f t="shared" si="6"/>
        <v>#REF!</v>
      </c>
      <c r="F83" s="139" t="e">
        <f t="shared" si="7"/>
        <v>#REF!</v>
      </c>
      <c r="G83" s="139" t="e">
        <f t="shared" si="8"/>
        <v>#REF!</v>
      </c>
      <c r="H83" s="276" t="e">
        <f t="shared" si="9"/>
        <v>#REF!</v>
      </c>
      <c r="I83" s="276"/>
      <c r="J83" s="276"/>
    </row>
    <row r="84" spans="2:10" hidden="1" x14ac:dyDescent="0.25">
      <c r="B84" s="113" t="s">
        <v>62</v>
      </c>
      <c r="C84" s="96">
        <v>39</v>
      </c>
      <c r="D84" s="277">
        <f>[6]Datos!I$13*C84%</f>
        <v>380845926.27900004</v>
      </c>
      <c r="E84" s="240" t="e">
        <f t="shared" si="6"/>
        <v>#REF!</v>
      </c>
      <c r="F84" s="139" t="e">
        <f t="shared" si="7"/>
        <v>#REF!</v>
      </c>
      <c r="G84" s="139" t="e">
        <f t="shared" si="8"/>
        <v>#REF!</v>
      </c>
      <c r="H84" s="278" t="e">
        <f t="shared" si="9"/>
        <v>#REF!</v>
      </c>
      <c r="I84" s="278"/>
      <c r="J84" s="278"/>
    </row>
    <row r="85" spans="2:10" hidden="1" x14ac:dyDescent="0.25">
      <c r="B85" s="113" t="s">
        <v>63</v>
      </c>
      <c r="C85" s="96">
        <v>3.79</v>
      </c>
      <c r="D85" s="277">
        <f>[6]Datos!I$13*C85%</f>
        <v>37010411.810190007</v>
      </c>
      <c r="E85" s="240" t="e">
        <f t="shared" si="6"/>
        <v>#REF!</v>
      </c>
      <c r="F85" s="139" t="e">
        <f t="shared" si="7"/>
        <v>#REF!</v>
      </c>
      <c r="G85" s="139" t="e">
        <f t="shared" si="8"/>
        <v>#REF!</v>
      </c>
      <c r="H85" s="278" t="e">
        <f t="shared" si="9"/>
        <v>#REF!</v>
      </c>
      <c r="I85" s="278"/>
      <c r="J85" s="278"/>
    </row>
    <row r="86" spans="2:10" hidden="1" x14ac:dyDescent="0.25">
      <c r="B86" s="113" t="s">
        <v>64</v>
      </c>
      <c r="C86" s="96">
        <v>3.1</v>
      </c>
      <c r="D86" s="277">
        <f>[6]Datos!I$13*C86%</f>
        <v>30272368.4991</v>
      </c>
      <c r="E86" s="240" t="e">
        <f t="shared" si="6"/>
        <v>#REF!</v>
      </c>
      <c r="F86" s="139" t="e">
        <f t="shared" si="7"/>
        <v>#REF!</v>
      </c>
      <c r="G86" s="139" t="e">
        <f t="shared" si="8"/>
        <v>#REF!</v>
      </c>
      <c r="H86" s="276" t="e">
        <f t="shared" si="9"/>
        <v>#REF!</v>
      </c>
      <c r="I86" s="276"/>
      <c r="J86" s="276"/>
    </row>
    <row r="87" spans="2:10" hidden="1" x14ac:dyDescent="0.25">
      <c r="B87" s="115" t="s">
        <v>65</v>
      </c>
      <c r="C87" s="116">
        <f>SUM(C67:C86)</f>
        <v>100</v>
      </c>
      <c r="D87" s="218">
        <f>SUM(D67:D86)</f>
        <v>976528016.0999999</v>
      </c>
      <c r="E87" s="279" t="e">
        <f t="shared" si="6"/>
        <v>#REF!</v>
      </c>
      <c r="F87" s="280" t="e">
        <f t="shared" si="7"/>
        <v>#REF!</v>
      </c>
      <c r="G87" s="280" t="e">
        <f t="shared" si="8"/>
        <v>#REF!</v>
      </c>
      <c r="H87" s="281">
        <v>0</v>
      </c>
      <c r="I87" s="282"/>
      <c r="J87" s="282"/>
    </row>
    <row r="88" spans="2:10" x14ac:dyDescent="0.25">
      <c r="B88" s="8"/>
      <c r="C88" s="8"/>
      <c r="D88" s="8"/>
      <c r="E88" s="8"/>
      <c r="F88" s="8"/>
      <c r="G88" s="8"/>
      <c r="H88" s="8"/>
      <c r="I88" s="8"/>
      <c r="J88" s="8"/>
    </row>
  </sheetData>
  <mergeCells count="12">
    <mergeCell ref="B3:M3"/>
    <mergeCell ref="B4:M4"/>
    <mergeCell ref="B5:B8"/>
    <mergeCell ref="C5:D5"/>
    <mergeCell ref="E5:F5"/>
    <mergeCell ref="C6:D6"/>
    <mergeCell ref="E6:F6"/>
    <mergeCell ref="B34:D34"/>
    <mergeCell ref="B35:B36"/>
    <mergeCell ref="C35:D35"/>
    <mergeCell ref="B61:H61"/>
    <mergeCell ref="B63:B66"/>
  </mergeCells>
  <pageMargins left="0.70866141732283472" right="0.70866141732283472" top="0.74803149606299213" bottom="0.74803149606299213" header="0.31496062992125984" footer="0.31496062992125984"/>
  <pageSetup scale="6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AB63"/>
  <sheetViews>
    <sheetView zoomScaleNormal="100" workbookViewId="0">
      <selection sqref="A1:T1"/>
    </sheetView>
  </sheetViews>
  <sheetFormatPr baseColWidth="10" defaultRowHeight="15" x14ac:dyDescent="0.25"/>
  <cols>
    <col min="1" max="1" width="22.5703125" customWidth="1"/>
    <col min="2" max="2" width="10.42578125" customWidth="1"/>
    <col min="3" max="3" width="14.5703125" bestFit="1" customWidth="1"/>
    <col min="4" max="4" width="11.5703125" customWidth="1"/>
    <col min="5" max="5" width="15.42578125" customWidth="1"/>
    <col min="6" max="6" width="14.28515625" customWidth="1"/>
    <col min="7" max="7" width="17.140625" style="9" customWidth="1"/>
    <col min="8" max="8" width="15.42578125" style="9" customWidth="1"/>
    <col min="9" max="9" width="16.140625" style="9" customWidth="1"/>
    <col min="10" max="10" width="14.28515625" customWidth="1"/>
    <col min="11" max="11" width="15.42578125" customWidth="1"/>
    <col min="12" max="12" width="13.42578125" bestFit="1" customWidth="1"/>
    <col min="13" max="13" width="15.140625" customWidth="1"/>
    <col min="14" max="14" width="16.28515625" customWidth="1"/>
    <col min="15" max="15" width="13.5703125" customWidth="1"/>
    <col min="16" max="16" width="11.85546875" customWidth="1"/>
    <col min="17" max="17" width="14.42578125" customWidth="1"/>
    <col min="18" max="18" width="11.85546875" customWidth="1"/>
    <col min="19" max="19" width="14.5703125" customWidth="1"/>
    <col min="20" max="20" width="16.5703125" bestFit="1" customWidth="1"/>
    <col min="21" max="21" width="14.85546875" hidden="1" customWidth="1"/>
    <col min="22" max="22" width="11.42578125" customWidth="1"/>
    <col min="23" max="24" width="11.42578125" hidden="1" customWidth="1"/>
    <col min="25" max="26" width="17.85546875" bestFit="1" customWidth="1"/>
    <col min="27" max="27" width="12.140625" bestFit="1" customWidth="1"/>
  </cols>
  <sheetData>
    <row r="1" spans="1:28" x14ac:dyDescent="0.25">
      <c r="A1" s="967" t="s">
        <v>443</v>
      </c>
      <c r="B1" s="967"/>
      <c r="C1" s="967"/>
      <c r="D1" s="967"/>
      <c r="E1" s="967"/>
      <c r="F1" s="967"/>
      <c r="G1" s="967"/>
      <c r="H1" s="967"/>
      <c r="I1" s="967"/>
      <c r="J1" s="967"/>
      <c r="K1" s="967"/>
      <c r="L1" s="967"/>
      <c r="M1" s="967"/>
      <c r="N1" s="967"/>
      <c r="O1" s="967"/>
      <c r="P1" s="967"/>
      <c r="Q1" s="967"/>
      <c r="R1" s="967"/>
      <c r="S1" s="967"/>
      <c r="T1" s="967"/>
    </row>
    <row r="2" spans="1:28" ht="15.75" thickBot="1" x14ac:dyDescent="0.3">
      <c r="A2" s="12"/>
      <c r="B2" s="12"/>
      <c r="C2" s="12"/>
      <c r="D2" s="12"/>
      <c r="E2" s="12"/>
      <c r="F2" s="12"/>
      <c r="G2" s="12"/>
      <c r="H2" s="12"/>
      <c r="I2" s="12"/>
      <c r="J2" s="9"/>
      <c r="T2" s="961" t="s">
        <v>542</v>
      </c>
    </row>
    <row r="3" spans="1:28" ht="33.75" customHeight="1" x14ac:dyDescent="0.25">
      <c r="A3" s="1041" t="s">
        <v>216</v>
      </c>
      <c r="B3" s="1039" t="s">
        <v>223</v>
      </c>
      <c r="C3" s="1055" t="s">
        <v>188</v>
      </c>
      <c r="D3" s="1058" t="s">
        <v>66</v>
      </c>
      <c r="E3" s="1059"/>
      <c r="F3" s="1059"/>
      <c r="G3" s="1060"/>
      <c r="H3" s="1058" t="s">
        <v>67</v>
      </c>
      <c r="I3" s="1059"/>
      <c r="J3" s="1059"/>
      <c r="K3" s="1059"/>
      <c r="L3" s="1059"/>
      <c r="M3" s="1060"/>
      <c r="N3" s="1061" t="s">
        <v>68</v>
      </c>
      <c r="O3" s="1062"/>
      <c r="P3" s="1062"/>
      <c r="Q3" s="1062"/>
      <c r="R3" s="1062"/>
      <c r="S3" s="1063"/>
      <c r="T3" s="1039" t="s">
        <v>238</v>
      </c>
      <c r="U3" s="1057" t="s">
        <v>385</v>
      </c>
    </row>
    <row r="4" spans="1:28" ht="15" customHeight="1" x14ac:dyDescent="0.25">
      <c r="A4" s="1042"/>
      <c r="B4" s="1040"/>
      <c r="C4" s="1056"/>
      <c r="D4" s="1050" t="s">
        <v>403</v>
      </c>
      <c r="E4" s="1048" t="s">
        <v>191</v>
      </c>
      <c r="F4" s="1048" t="s">
        <v>404</v>
      </c>
      <c r="G4" s="1052" t="s">
        <v>192</v>
      </c>
      <c r="H4" s="1043" t="s">
        <v>237</v>
      </c>
      <c r="I4" s="1044"/>
      <c r="J4" s="1044"/>
      <c r="K4" s="1047" t="s">
        <v>191</v>
      </c>
      <c r="L4" s="1065" t="s">
        <v>405</v>
      </c>
      <c r="M4" s="1051" t="s">
        <v>227</v>
      </c>
      <c r="N4" s="1049" t="s">
        <v>225</v>
      </c>
      <c r="O4" s="1053" t="s">
        <v>230</v>
      </c>
      <c r="P4" s="1053" t="s">
        <v>232</v>
      </c>
      <c r="Q4" s="1053" t="s">
        <v>233</v>
      </c>
      <c r="R4" s="1053" t="s">
        <v>193</v>
      </c>
      <c r="S4" s="1051" t="s">
        <v>236</v>
      </c>
      <c r="T4" s="1040"/>
      <c r="U4" s="1057"/>
    </row>
    <row r="5" spans="1:28" x14ac:dyDescent="0.25">
      <c r="A5" s="1042"/>
      <c r="B5" s="1040"/>
      <c r="C5" s="1056"/>
      <c r="D5" s="1050"/>
      <c r="E5" s="1048"/>
      <c r="F5" s="1048"/>
      <c r="G5" s="1052"/>
      <c r="H5" s="1045"/>
      <c r="I5" s="1046"/>
      <c r="J5" s="1046"/>
      <c r="K5" s="1048"/>
      <c r="L5" s="1066"/>
      <c r="M5" s="1052"/>
      <c r="N5" s="1050"/>
      <c r="O5" s="1054"/>
      <c r="P5" s="1054"/>
      <c r="Q5" s="1054"/>
      <c r="R5" s="1064"/>
      <c r="S5" s="1052"/>
      <c r="T5" s="1040"/>
      <c r="U5" s="1057"/>
    </row>
    <row r="6" spans="1:28" x14ac:dyDescent="0.25">
      <c r="A6" s="1042"/>
      <c r="B6" s="1040"/>
      <c r="C6" s="1056"/>
      <c r="D6" s="1050"/>
      <c r="E6" s="1048"/>
      <c r="F6" s="1048"/>
      <c r="G6" s="1052"/>
      <c r="H6" s="847">
        <v>2023</v>
      </c>
      <c r="I6" s="462">
        <v>2024</v>
      </c>
      <c r="J6" s="414" t="s">
        <v>190</v>
      </c>
      <c r="K6" s="1048"/>
      <c r="L6" s="1066"/>
      <c r="M6" s="1052"/>
      <c r="N6" s="1050"/>
      <c r="O6" s="1054"/>
      <c r="P6" s="1054"/>
      <c r="Q6" s="1054"/>
      <c r="R6" s="1064"/>
      <c r="S6" s="1052"/>
      <c r="T6" s="1040"/>
      <c r="U6" s="1057"/>
    </row>
    <row r="7" spans="1:28" ht="15.75" thickBot="1" x14ac:dyDescent="0.3">
      <c r="A7" s="1042"/>
      <c r="B7" s="292" t="s">
        <v>70</v>
      </c>
      <c r="C7" s="292" t="s">
        <v>92</v>
      </c>
      <c r="D7" s="411" t="s">
        <v>71</v>
      </c>
      <c r="E7" s="412" t="s">
        <v>72</v>
      </c>
      <c r="F7" s="412" t="s">
        <v>73</v>
      </c>
      <c r="G7" s="413" t="s">
        <v>95</v>
      </c>
      <c r="H7" s="411" t="s">
        <v>74</v>
      </c>
      <c r="I7" s="412" t="s">
        <v>75</v>
      </c>
      <c r="J7" s="412" t="s">
        <v>189</v>
      </c>
      <c r="K7" s="415" t="s">
        <v>77</v>
      </c>
      <c r="L7" s="412" t="s">
        <v>78</v>
      </c>
      <c r="M7" s="413" t="s">
        <v>226</v>
      </c>
      <c r="N7" s="411" t="s">
        <v>228</v>
      </c>
      <c r="O7" s="412" t="s">
        <v>229</v>
      </c>
      <c r="P7" s="412" t="s">
        <v>231</v>
      </c>
      <c r="Q7" s="412" t="s">
        <v>234</v>
      </c>
      <c r="R7" s="946" t="s">
        <v>79</v>
      </c>
      <c r="S7" s="947" t="s">
        <v>235</v>
      </c>
      <c r="T7" s="948" t="s">
        <v>239</v>
      </c>
      <c r="U7" s="1057"/>
      <c r="W7" s="59"/>
    </row>
    <row r="8" spans="1:28" s="5" customFormat="1" ht="16.5" customHeight="1" x14ac:dyDescent="0.25">
      <c r="A8" s="60" t="s">
        <v>45</v>
      </c>
      <c r="B8" s="61">
        <v>3.62</v>
      </c>
      <c r="C8" s="62">
        <f>$C$28*B8/100</f>
        <v>35350314.18282</v>
      </c>
      <c r="D8" s="63">
        <f>'CUADRO 1 - CENSO 2020'!C9</f>
        <v>37232</v>
      </c>
      <c r="E8" s="64">
        <f>D8/$D$28*100</f>
        <v>3.0136241193535018</v>
      </c>
      <c r="F8" s="65">
        <f>E8*0.6</f>
        <v>1.8081744716121011</v>
      </c>
      <c r="G8" s="66">
        <f>Datos!$I$12*'CUADRO 6 -FGP'!F8/100</f>
        <v>22191725.177536458</v>
      </c>
      <c r="H8" s="67">
        <f>'CUADRO 2 -Predial y Agua'!D6</f>
        <v>12923931</v>
      </c>
      <c r="I8" s="68">
        <f>'CUADRO 2 -Predial y Agua'!G6</f>
        <v>11882395.140000001</v>
      </c>
      <c r="J8" s="64">
        <f>I8/H8</f>
        <v>0.91941028933069979</v>
      </c>
      <c r="K8" s="64">
        <f>J8/$J$28*100</f>
        <v>4.1362136121224466</v>
      </c>
      <c r="L8" s="64">
        <f>K8*0.3</f>
        <v>1.2408640836367339</v>
      </c>
      <c r="M8" s="69">
        <f>Datos!$I$12*'CUADRO 6 -FGP'!L8/100</f>
        <v>15229124.821229849</v>
      </c>
      <c r="N8" s="70">
        <f>G8+M8</f>
        <v>37420849.998766303</v>
      </c>
      <c r="O8" s="64">
        <f>L8+F8</f>
        <v>3.0490385552488348</v>
      </c>
      <c r="P8" s="64">
        <f>MINVERSE(O8)</f>
        <v>0.32797223842201928</v>
      </c>
      <c r="Q8" s="64">
        <f>P8/P$28*100</f>
        <v>4.8919944271042803</v>
      </c>
      <c r="R8" s="64">
        <f>Q8*0.1</f>
        <v>0.48919944271042803</v>
      </c>
      <c r="S8" s="71">
        <f>Datos!$I$12*'CUADRO 6 -FGP'!R8/100</f>
        <v>6003944.7299324181</v>
      </c>
      <c r="T8" s="72">
        <f>C8+G8+M8+S8</f>
        <v>78775108.911518723</v>
      </c>
      <c r="U8" s="73">
        <f>R8+L8+F8</f>
        <v>3.5382379979592633</v>
      </c>
      <c r="V8" s="74"/>
      <c r="W8" s="75">
        <v>0.97425313870244945</v>
      </c>
      <c r="X8" s="75">
        <f t="shared" ref="X8:X27" si="0">J8-W8</f>
        <v>-5.4842849371749658E-2</v>
      </c>
      <c r="Y8" s="76"/>
      <c r="Z8" s="76"/>
      <c r="AA8" s="74"/>
      <c r="AB8" s="74"/>
    </row>
    <row r="9" spans="1:28" s="5" customFormat="1" ht="16.5" customHeight="1" x14ac:dyDescent="0.25">
      <c r="A9" s="60" t="s">
        <v>46</v>
      </c>
      <c r="B9" s="77">
        <v>2.4700000000000002</v>
      </c>
      <c r="C9" s="62">
        <f t="shared" ref="C9:C27" si="1">$C$28*B9/100</f>
        <v>24120241.997670002</v>
      </c>
      <c r="D9" s="63">
        <f>'CUADRO 1 - CENSO 2020'!C10</f>
        <v>15393</v>
      </c>
      <c r="E9" s="64">
        <f t="shared" ref="E9:E27" si="2">D9/$D$28*100</f>
        <v>1.2459367229589724</v>
      </c>
      <c r="F9" s="65">
        <f t="shared" ref="F9:F27" si="3">E9*0.6</f>
        <v>0.74756203377538344</v>
      </c>
      <c r="G9" s="66">
        <f>Datos!$I$12*'CUADRO 6 -FGP'!F9/100</f>
        <v>9174828.7939895447</v>
      </c>
      <c r="H9" s="67">
        <f>'CUADRO 2 -Predial y Agua'!D7</f>
        <v>7338734</v>
      </c>
      <c r="I9" s="68">
        <f>'CUADRO 2 -Predial y Agua'!G7</f>
        <v>7867222.9400000004</v>
      </c>
      <c r="J9" s="64">
        <f t="shared" ref="J9:J27" si="4">I9/H9</f>
        <v>1.072013638864687</v>
      </c>
      <c r="K9" s="64">
        <f t="shared" ref="K9:K27" si="5">J9/$J$28*100</f>
        <v>4.8227406816176668</v>
      </c>
      <c r="L9" s="78">
        <f t="shared" ref="L9:L27" si="6">K9*0.3</f>
        <v>1.4468222044853001</v>
      </c>
      <c r="M9" s="69">
        <f>Datos!$I$12*'CUADRO 6 -FGP'!L9/100</f>
        <v>17756848.82558341</v>
      </c>
      <c r="N9" s="79">
        <f t="shared" ref="N9:N28" si="7">G9+M9</f>
        <v>26931677.619572952</v>
      </c>
      <c r="O9" s="78">
        <f t="shared" ref="O9:O27" si="8">L9+F9</f>
        <v>2.1943842382606835</v>
      </c>
      <c r="P9" s="78">
        <f t="shared" ref="P9:P27" si="9">MINVERSE(O9)</f>
        <v>0.45570870523232598</v>
      </c>
      <c r="Q9" s="78">
        <f t="shared" ref="Q9:Q27" si="10">P9/P$28*100</f>
        <v>6.7972961891696935</v>
      </c>
      <c r="R9" s="78">
        <f t="shared" ref="R9:R27" si="11">Q9*0.1</f>
        <v>0.67972961891696937</v>
      </c>
      <c r="S9" s="71">
        <f>Datos!$I$12*'CUADRO 6 -FGP'!R9/100</f>
        <v>8342321.5706547964</v>
      </c>
      <c r="T9" s="72">
        <f t="shared" ref="T9:T27" si="12">C9+G9+M9+S9</f>
        <v>59394241.187897757</v>
      </c>
      <c r="U9" s="73">
        <f t="shared" ref="U9:U28" si="13">R9+L9+F9</f>
        <v>2.8741138571776528</v>
      </c>
      <c r="V9" s="74"/>
      <c r="W9" s="75">
        <v>1.0958106186784708</v>
      </c>
      <c r="X9" s="75">
        <f t="shared" si="0"/>
        <v>-2.3796979813783814E-2</v>
      </c>
      <c r="Y9" s="76"/>
      <c r="Z9" s="76"/>
      <c r="AA9" s="74"/>
      <c r="AB9" s="74"/>
    </row>
    <row r="10" spans="1:28" s="5" customFormat="1" ht="16.5" customHeight="1" x14ac:dyDescent="0.25">
      <c r="A10" s="60" t="s">
        <v>47</v>
      </c>
      <c r="B10" s="77">
        <v>2.33</v>
      </c>
      <c r="C10" s="62">
        <f t="shared" si="1"/>
        <v>22753102.77513</v>
      </c>
      <c r="D10" s="63">
        <f>'CUADRO 1 - CENSO 2020'!C11</f>
        <v>11536</v>
      </c>
      <c r="E10" s="64">
        <f t="shared" si="2"/>
        <v>0.93374430169912959</v>
      </c>
      <c r="F10" s="65">
        <f t="shared" si="3"/>
        <v>0.56024658101947777</v>
      </c>
      <c r="G10" s="66">
        <f>Datos!$I$12*'CUADRO 6 -FGP'!F10/100</f>
        <v>6875906.2539767018</v>
      </c>
      <c r="H10" s="67">
        <f>'CUADRO 2 -Predial y Agua'!D8</f>
        <v>3776843</v>
      </c>
      <c r="I10" s="68">
        <f>'CUADRO 2 -Predial y Agua'!G8</f>
        <v>3578304.75</v>
      </c>
      <c r="J10" s="64">
        <f t="shared" si="4"/>
        <v>0.94743275005076988</v>
      </c>
      <c r="K10" s="64">
        <f t="shared" si="5"/>
        <v>4.2622801624107804</v>
      </c>
      <c r="L10" s="78">
        <f t="shared" si="6"/>
        <v>1.278684048723234</v>
      </c>
      <c r="M10" s="69">
        <f>Datos!$I$12*'CUADRO 6 -FGP'!L10/100</f>
        <v>15693289.25038217</v>
      </c>
      <c r="N10" s="79">
        <f t="shared" si="7"/>
        <v>22569195.504358873</v>
      </c>
      <c r="O10" s="78">
        <f t="shared" si="8"/>
        <v>1.8389306297427117</v>
      </c>
      <c r="P10" s="78">
        <f t="shared" si="9"/>
        <v>0.54379430296395248</v>
      </c>
      <c r="Q10" s="78">
        <f t="shared" si="10"/>
        <v>8.1111703612171038</v>
      </c>
      <c r="R10" s="78">
        <f t="shared" si="11"/>
        <v>0.81111703612171038</v>
      </c>
      <c r="S10" s="71">
        <f>Datos!$I$12*'CUADRO 6 -FGP'!R10/100</f>
        <v>9954839.3338297158</v>
      </c>
      <c r="T10" s="72">
        <f t="shared" si="12"/>
        <v>55277137.613318592</v>
      </c>
      <c r="U10" s="73">
        <f t="shared" si="13"/>
        <v>2.6500476658644221</v>
      </c>
      <c r="V10" s="74"/>
      <c r="W10" s="75">
        <v>1.0258439054458339</v>
      </c>
      <c r="X10" s="75">
        <f t="shared" si="0"/>
        <v>-7.8411155395064047E-2</v>
      </c>
      <c r="Y10" s="76"/>
      <c r="Z10" s="76"/>
      <c r="AA10" s="74"/>
      <c r="AB10" s="74"/>
    </row>
    <row r="11" spans="1:28" s="5" customFormat="1" ht="16.5" customHeight="1" x14ac:dyDescent="0.25">
      <c r="A11" s="60" t="s">
        <v>48</v>
      </c>
      <c r="B11" s="77">
        <v>2.81</v>
      </c>
      <c r="C11" s="62">
        <f t="shared" si="1"/>
        <v>27440437.252410002</v>
      </c>
      <c r="D11" s="63">
        <f>'CUADRO 1 - CENSO 2020'!C12</f>
        <v>187632</v>
      </c>
      <c r="E11" s="64">
        <f t="shared" si="2"/>
        <v>15.187266887691669</v>
      </c>
      <c r="F11" s="65">
        <f t="shared" si="3"/>
        <v>9.1123601326150006</v>
      </c>
      <c r="G11" s="66">
        <f>Datos!$I$12*'CUADRO 6 -FGP'!F11/100</f>
        <v>111835995.34033948</v>
      </c>
      <c r="H11" s="67">
        <f>'CUADRO 2 -Predial y Agua'!D9</f>
        <v>386932431</v>
      </c>
      <c r="I11" s="68">
        <f>'CUADRO 2 -Predial y Agua'!G9</f>
        <v>449922673.11000001</v>
      </c>
      <c r="J11" s="64">
        <f t="shared" si="4"/>
        <v>1.162793906799712</v>
      </c>
      <c r="K11" s="64">
        <f t="shared" si="5"/>
        <v>5.2311400483664494</v>
      </c>
      <c r="L11" s="78">
        <f t="shared" si="6"/>
        <v>1.5693420145099348</v>
      </c>
      <c r="M11" s="69">
        <f>Datos!$I$12*'CUADRO 6 -FGP'!L11/100</f>
        <v>19260534.446388889</v>
      </c>
      <c r="N11" s="79">
        <f t="shared" si="7"/>
        <v>131096529.78672837</v>
      </c>
      <c r="O11" s="78">
        <f t="shared" si="8"/>
        <v>10.681702147124936</v>
      </c>
      <c r="P11" s="78">
        <f t="shared" si="9"/>
        <v>9.3618038232713488E-2</v>
      </c>
      <c r="Q11" s="78">
        <f t="shared" si="10"/>
        <v>1.3963953885681142</v>
      </c>
      <c r="R11" s="78">
        <f t="shared" si="11"/>
        <v>0.13963953885681143</v>
      </c>
      <c r="S11" s="71">
        <f>Datos!$I$12*'CUADRO 6 -FGP'!R11/100</f>
        <v>1713796.0516970856</v>
      </c>
      <c r="T11" s="72">
        <f t="shared" si="12"/>
        <v>160250763.09083545</v>
      </c>
      <c r="U11" s="73">
        <f t="shared" si="13"/>
        <v>10.821341685981746</v>
      </c>
      <c r="V11" s="74"/>
      <c r="W11" s="75">
        <v>1.2368625473905901</v>
      </c>
      <c r="X11" s="75">
        <f t="shared" si="0"/>
        <v>-7.4068640590878143E-2</v>
      </c>
      <c r="Y11" s="76"/>
      <c r="Z11" s="76"/>
      <c r="AA11" s="74"/>
      <c r="AB11" s="74"/>
    </row>
    <row r="12" spans="1:28" s="5" customFormat="1" ht="16.5" customHeight="1" x14ac:dyDescent="0.25">
      <c r="A12" s="60" t="s">
        <v>49</v>
      </c>
      <c r="B12" s="77">
        <v>4.6399999999999997</v>
      </c>
      <c r="C12" s="62">
        <f t="shared" si="1"/>
        <v>45310899.947039992</v>
      </c>
      <c r="D12" s="63">
        <f>'CUADRO 1 - CENSO 2020'!C13</f>
        <v>77436</v>
      </c>
      <c r="E12" s="64">
        <f t="shared" si="2"/>
        <v>6.2678071902196431</v>
      </c>
      <c r="F12" s="65">
        <f t="shared" si="3"/>
        <v>3.7606843141317858</v>
      </c>
      <c r="G12" s="66">
        <f>Datos!$I$12*'CUADRO 6 -FGP'!F12/100</f>
        <v>46154878.353236809</v>
      </c>
      <c r="H12" s="67">
        <f>'CUADRO 2 -Predial y Agua'!D10</f>
        <v>68495759</v>
      </c>
      <c r="I12" s="68">
        <f>'CUADRO 2 -Predial y Agua'!G10</f>
        <v>81768324.289999992</v>
      </c>
      <c r="J12" s="64">
        <f t="shared" si="4"/>
        <v>1.1937720741221365</v>
      </c>
      <c r="K12" s="64">
        <f t="shared" si="5"/>
        <v>5.3705036370107475</v>
      </c>
      <c r="L12" s="78">
        <f t="shared" si="6"/>
        <v>1.6111510911032243</v>
      </c>
      <c r="M12" s="69">
        <f>Datos!$I$12*'CUADRO 6 -FGP'!L12/100</f>
        <v>19773657.240815718</v>
      </c>
      <c r="N12" s="79">
        <f t="shared" si="7"/>
        <v>65928535.594052523</v>
      </c>
      <c r="O12" s="78">
        <f t="shared" si="8"/>
        <v>5.3718354052350099</v>
      </c>
      <c r="P12" s="78">
        <f t="shared" si="9"/>
        <v>0.18615611323933545</v>
      </c>
      <c r="Q12" s="78">
        <f t="shared" si="10"/>
        <v>2.7766821756614926</v>
      </c>
      <c r="R12" s="78">
        <f t="shared" si="11"/>
        <v>0.27766821756614929</v>
      </c>
      <c r="S12" s="71">
        <f>Datos!$I$12*'CUADRO 6 -FGP'!R12/100</f>
        <v>3407822.0169045036</v>
      </c>
      <c r="T12" s="72">
        <f t="shared" si="12"/>
        <v>114647257.55799702</v>
      </c>
      <c r="U12" s="73">
        <f t="shared" si="13"/>
        <v>5.6495036228011593</v>
      </c>
      <c r="V12" s="74"/>
      <c r="W12" s="75">
        <v>0.59920521048482089</v>
      </c>
      <c r="X12" s="75">
        <f t="shared" si="0"/>
        <v>0.59456686363731559</v>
      </c>
      <c r="Y12" s="76"/>
      <c r="Z12" s="76"/>
      <c r="AA12" s="74"/>
      <c r="AB12" s="74"/>
    </row>
    <row r="13" spans="1:28" s="5" customFormat="1" ht="16.5" customHeight="1" x14ac:dyDescent="0.25">
      <c r="A13" s="60" t="s">
        <v>50</v>
      </c>
      <c r="B13" s="77">
        <v>1.5</v>
      </c>
      <c r="C13" s="62">
        <f t="shared" si="1"/>
        <v>14647920.241500001</v>
      </c>
      <c r="D13" s="63">
        <f>'CUADRO 1 - CENSO 2020'!C14</f>
        <v>47550</v>
      </c>
      <c r="E13" s="64">
        <f t="shared" si="2"/>
        <v>3.8487813406547868</v>
      </c>
      <c r="F13" s="65">
        <f t="shared" si="3"/>
        <v>2.3092688043928722</v>
      </c>
      <c r="G13" s="66">
        <f>Datos!$I$12*'CUADRO 6 -FGP'!F13/100</f>
        <v>28341655.892561741</v>
      </c>
      <c r="H13" s="67">
        <f>'CUADRO 2 -Predial y Agua'!D11</f>
        <v>76556</v>
      </c>
      <c r="I13" s="68">
        <f>'CUADRO 2 -Predial y Agua'!G11</f>
        <v>149782.22</v>
      </c>
      <c r="J13" s="64">
        <f t="shared" si="4"/>
        <v>1.9565053033073829</v>
      </c>
      <c r="K13" s="64">
        <f t="shared" si="5"/>
        <v>8.8018635005932371</v>
      </c>
      <c r="L13" s="78">
        <f t="shared" si="6"/>
        <v>2.6405590501779712</v>
      </c>
      <c r="M13" s="69">
        <f>Datos!$I$12*'CUADRO 6 -FGP'!L13/100</f>
        <v>32407581.058459446</v>
      </c>
      <c r="N13" s="79">
        <f t="shared" si="7"/>
        <v>60749236.951021187</v>
      </c>
      <c r="O13" s="78">
        <f t="shared" si="8"/>
        <v>4.9498278545708434</v>
      </c>
      <c r="P13" s="78">
        <f t="shared" si="9"/>
        <v>0.2020272278916862</v>
      </c>
      <c r="Q13" s="78">
        <f t="shared" si="10"/>
        <v>3.0134138112559898</v>
      </c>
      <c r="R13" s="78">
        <f t="shared" si="11"/>
        <v>0.30134138112559899</v>
      </c>
      <c r="S13" s="71">
        <f>Datos!$I$12*'CUADRO 6 -FGP'!R13/100</f>
        <v>3698362.7517959755</v>
      </c>
      <c r="T13" s="72">
        <f t="shared" si="12"/>
        <v>79095519.944317162</v>
      </c>
      <c r="U13" s="73">
        <f t="shared" si="13"/>
        <v>5.2511692356964428</v>
      </c>
      <c r="V13" s="74"/>
      <c r="W13" s="75">
        <v>5.0856642738427809</v>
      </c>
      <c r="X13" s="75">
        <f t="shared" si="0"/>
        <v>-3.1291589705353982</v>
      </c>
      <c r="Y13" s="76"/>
      <c r="Z13" s="76"/>
      <c r="AA13" s="74"/>
      <c r="AB13" s="74"/>
    </row>
    <row r="14" spans="1:28" s="5" customFormat="1" ht="16.5" customHeight="1" x14ac:dyDescent="0.25">
      <c r="A14" s="60" t="s">
        <v>51</v>
      </c>
      <c r="B14" s="77">
        <v>1.53</v>
      </c>
      <c r="C14" s="62">
        <f t="shared" si="1"/>
        <v>14940878.646330001</v>
      </c>
      <c r="D14" s="63">
        <f>'CUADRO 1 - CENSO 2020'!C15</f>
        <v>12230</v>
      </c>
      <c r="E14" s="64">
        <f t="shared" si="2"/>
        <v>0.98991789266473262</v>
      </c>
      <c r="F14" s="65">
        <f t="shared" si="3"/>
        <v>0.5939507355988396</v>
      </c>
      <c r="G14" s="66">
        <f>Datos!$I$12*'CUADRO 6 -FGP'!F14/100</f>
        <v>7289557.3410311257</v>
      </c>
      <c r="H14" s="67">
        <f>'CUADRO 2 -Predial y Agua'!D12</f>
        <v>165039</v>
      </c>
      <c r="I14" s="68">
        <f>'CUADRO 2 -Predial y Agua'!G12</f>
        <v>160663.66</v>
      </c>
      <c r="J14" s="64">
        <f t="shared" si="4"/>
        <v>0.97348905410236375</v>
      </c>
      <c r="K14" s="64">
        <f t="shared" si="5"/>
        <v>4.3795014299454964</v>
      </c>
      <c r="L14" s="78">
        <f t="shared" si="6"/>
        <v>1.3138504289836488</v>
      </c>
      <c r="M14" s="69">
        <f>Datos!$I$12*'CUADRO 6 -FGP'!L14/100</f>
        <v>16124886.233129134</v>
      </c>
      <c r="N14" s="79">
        <f t="shared" si="7"/>
        <v>23414443.574160259</v>
      </c>
      <c r="O14" s="78">
        <f t="shared" si="8"/>
        <v>1.9078011645824884</v>
      </c>
      <c r="P14" s="78">
        <f t="shared" si="9"/>
        <v>0.52416363851986869</v>
      </c>
      <c r="Q14" s="78">
        <f t="shared" si="10"/>
        <v>7.8183617335025799</v>
      </c>
      <c r="R14" s="78">
        <f t="shared" si="11"/>
        <v>0.78183617335025801</v>
      </c>
      <c r="S14" s="71">
        <f>Datos!$I$12*'CUADRO 6 -FGP'!R14/100</f>
        <v>9595475.3068584148</v>
      </c>
      <c r="T14" s="72">
        <f t="shared" si="12"/>
        <v>47950797.527348675</v>
      </c>
      <c r="U14" s="73">
        <f t="shared" si="13"/>
        <v>2.6896373379327465</v>
      </c>
      <c r="V14" s="74"/>
      <c r="W14" s="75">
        <v>0.76323116375625843</v>
      </c>
      <c r="X14" s="75">
        <f t="shared" si="0"/>
        <v>0.21025789034610531</v>
      </c>
      <c r="Y14" s="76"/>
      <c r="Z14" s="76"/>
      <c r="AA14" s="74"/>
      <c r="AB14" s="74"/>
    </row>
    <row r="15" spans="1:28" s="5" customFormat="1" ht="16.5" customHeight="1" x14ac:dyDescent="0.25">
      <c r="A15" s="60" t="s">
        <v>52</v>
      </c>
      <c r="B15" s="77">
        <v>3.16</v>
      </c>
      <c r="C15" s="62">
        <f t="shared" si="1"/>
        <v>30858285.308760002</v>
      </c>
      <c r="D15" s="63">
        <f>'CUADRO 1 - CENSO 2020'!C16</f>
        <v>29299</v>
      </c>
      <c r="E15" s="64">
        <f t="shared" si="2"/>
        <v>2.3715130283878989</v>
      </c>
      <c r="F15" s="65">
        <f t="shared" si="3"/>
        <v>1.4229078170327394</v>
      </c>
      <c r="G15" s="66">
        <f>Datos!$I$12*'CUADRO 6 -FGP'!F15/100</f>
        <v>17463347.549866799</v>
      </c>
      <c r="H15" s="67">
        <f>'CUADRO 2 -Predial y Agua'!D13</f>
        <v>15911232</v>
      </c>
      <c r="I15" s="68">
        <f>'CUADRO 2 -Predial y Agua'!G13</f>
        <v>15707836.32</v>
      </c>
      <c r="J15" s="64">
        <f t="shared" si="4"/>
        <v>0.98721684907868856</v>
      </c>
      <c r="K15" s="64">
        <f t="shared" si="5"/>
        <v>4.4412595950480815</v>
      </c>
      <c r="L15" s="78">
        <f t="shared" si="6"/>
        <v>1.3323778785144245</v>
      </c>
      <c r="M15" s="69">
        <f>Datos!$I$12*'CUADRO 6 -FGP'!L15/100</f>
        <v>16352273.62006701</v>
      </c>
      <c r="N15" s="79">
        <f t="shared" si="7"/>
        <v>33815621.169933811</v>
      </c>
      <c r="O15" s="78">
        <f t="shared" si="8"/>
        <v>2.7552856955471636</v>
      </c>
      <c r="P15" s="78">
        <f t="shared" si="9"/>
        <v>0.36293876951348708</v>
      </c>
      <c r="Q15" s="78">
        <f t="shared" si="10"/>
        <v>5.4135509956042096</v>
      </c>
      <c r="R15" s="78">
        <f t="shared" si="11"/>
        <v>0.54135509956042094</v>
      </c>
      <c r="S15" s="71">
        <f>Datos!$I$12*'CUADRO 6 -FGP'!R15/100</f>
        <v>6644051.103205692</v>
      </c>
      <c r="T15" s="72">
        <f t="shared" si="12"/>
        <v>71317957.581899494</v>
      </c>
      <c r="U15" s="73">
        <f t="shared" si="13"/>
        <v>3.2966407951075851</v>
      </c>
      <c r="V15" s="74"/>
      <c r="W15" s="75">
        <v>1.5455894402307131</v>
      </c>
      <c r="X15" s="75">
        <f t="shared" si="0"/>
        <v>-0.55837259115202453</v>
      </c>
      <c r="Y15" s="76"/>
      <c r="Z15" s="76"/>
      <c r="AA15" s="74"/>
      <c r="AB15" s="74"/>
    </row>
    <row r="16" spans="1:28" s="5" customFormat="1" ht="16.5" customHeight="1" x14ac:dyDescent="0.25">
      <c r="A16" s="60" t="s">
        <v>53</v>
      </c>
      <c r="B16" s="77">
        <v>2.81</v>
      </c>
      <c r="C16" s="62">
        <f t="shared" si="1"/>
        <v>27440437.252410002</v>
      </c>
      <c r="D16" s="63">
        <f>'CUADRO 1 - CENSO 2020'!C17</f>
        <v>19321</v>
      </c>
      <c r="E16" s="64">
        <f t="shared" si="2"/>
        <v>1.563876010153336</v>
      </c>
      <c r="F16" s="65">
        <f t="shared" si="3"/>
        <v>0.93832560609200155</v>
      </c>
      <c r="G16" s="66">
        <f>Datos!$I$12*'CUADRO 6 -FGP'!F16/100</f>
        <v>11516070.105156368</v>
      </c>
      <c r="H16" s="67">
        <f>'CUADRO 2 -Predial y Agua'!D14</f>
        <v>5365129</v>
      </c>
      <c r="I16" s="68">
        <f>'CUADRO 2 -Predial y Agua'!G14</f>
        <v>5242636.2899999991</v>
      </c>
      <c r="J16" s="64">
        <f t="shared" si="4"/>
        <v>0.97716872977331937</v>
      </c>
      <c r="K16" s="64">
        <f t="shared" si="5"/>
        <v>4.3960554371988643</v>
      </c>
      <c r="L16" s="78">
        <f t="shared" si="6"/>
        <v>1.3188166311596592</v>
      </c>
      <c r="M16" s="69">
        <f>Datos!$I$12*'CUADRO 6 -FGP'!L16/100</f>
        <v>16185836.432126163</v>
      </c>
      <c r="N16" s="79">
        <f t="shared" si="7"/>
        <v>27701906.53728253</v>
      </c>
      <c r="O16" s="78">
        <f t="shared" si="8"/>
        <v>2.257142237251661</v>
      </c>
      <c r="P16" s="78">
        <f t="shared" si="9"/>
        <v>0.44303809635746255</v>
      </c>
      <c r="Q16" s="78">
        <f t="shared" si="10"/>
        <v>6.6083029124762831</v>
      </c>
      <c r="R16" s="78">
        <f t="shared" si="11"/>
        <v>0.66083029124762838</v>
      </c>
      <c r="S16" s="71">
        <f>Datos!$I$12*'CUADRO 6 -FGP'!R16/100</f>
        <v>8110370.1233454589</v>
      </c>
      <c r="T16" s="72">
        <f t="shared" si="12"/>
        <v>63252713.913037993</v>
      </c>
      <c r="U16" s="73">
        <f t="shared" si="13"/>
        <v>2.9179725284992895</v>
      </c>
      <c r="V16" s="74"/>
      <c r="W16" s="75">
        <v>1.3217513416832607</v>
      </c>
      <c r="X16" s="75">
        <f t="shared" si="0"/>
        <v>-0.34458261190994133</v>
      </c>
      <c r="Y16" s="76"/>
      <c r="Z16" s="76"/>
      <c r="AA16" s="74"/>
      <c r="AB16" s="74"/>
    </row>
    <row r="17" spans="1:28" s="5" customFormat="1" ht="16.5" customHeight="1" x14ac:dyDescent="0.25">
      <c r="A17" s="60" t="s">
        <v>54</v>
      </c>
      <c r="B17" s="77">
        <v>1.6</v>
      </c>
      <c r="C17" s="62">
        <f t="shared" si="1"/>
        <v>15624448.257600002</v>
      </c>
      <c r="D17" s="63">
        <f>'CUADRO 1 - CENSO 2020'!C18</f>
        <v>13719</v>
      </c>
      <c r="E17" s="64">
        <f t="shared" si="2"/>
        <v>1.1104401937422297</v>
      </c>
      <c r="F17" s="65">
        <f t="shared" si="3"/>
        <v>0.66626411624533777</v>
      </c>
      <c r="G17" s="66">
        <f>Datos!$I$12*'CUADRO 6 -FGP'!F17/100</f>
        <v>8177059.4572040904</v>
      </c>
      <c r="H17" s="67">
        <f>'CUADRO 2 -Predial y Agua'!D15</f>
        <v>1487759</v>
      </c>
      <c r="I17" s="68">
        <f>'CUADRO 2 -Predial y Agua'!G15</f>
        <v>1417630.02</v>
      </c>
      <c r="J17" s="64">
        <f t="shared" si="4"/>
        <v>0.95286267466706642</v>
      </c>
      <c r="K17" s="64">
        <f t="shared" si="5"/>
        <v>4.2867081336564299</v>
      </c>
      <c r="L17" s="78">
        <f t="shared" si="6"/>
        <v>1.2860124400969288</v>
      </c>
      <c r="M17" s="69">
        <f>Datos!$I$12*'CUADRO 6 -FGP'!L17/100</f>
        <v>15783230.597255334</v>
      </c>
      <c r="N17" s="79">
        <f t="shared" si="7"/>
        <v>23960290.054459423</v>
      </c>
      <c r="O17" s="78">
        <f t="shared" si="8"/>
        <v>1.9522765563422666</v>
      </c>
      <c r="P17" s="78">
        <f t="shared" si="9"/>
        <v>0.51222251107372485</v>
      </c>
      <c r="Q17" s="78">
        <f t="shared" si="10"/>
        <v>7.6402493139851977</v>
      </c>
      <c r="R17" s="78">
        <f t="shared" si="11"/>
        <v>0.76402493139851979</v>
      </c>
      <c r="S17" s="71">
        <f>Datos!$I$12*'CUADRO 6 -FGP'!R17/100</f>
        <v>9376877.9354934823</v>
      </c>
      <c r="T17" s="72">
        <f t="shared" si="12"/>
        <v>48961616.247552909</v>
      </c>
      <c r="U17" s="73">
        <f t="shared" si="13"/>
        <v>2.7163014877407865</v>
      </c>
      <c r="V17" s="74"/>
      <c r="W17" s="75">
        <v>1.0641937928415424</v>
      </c>
      <c r="X17" s="75">
        <f t="shared" si="0"/>
        <v>-0.11133111817447594</v>
      </c>
      <c r="Y17" s="76"/>
      <c r="Z17" s="76"/>
      <c r="AA17" s="74"/>
      <c r="AB17" s="74"/>
    </row>
    <row r="18" spans="1:28" s="5" customFormat="1" ht="16.5" customHeight="1" x14ac:dyDescent="0.25">
      <c r="A18" s="60" t="s">
        <v>55</v>
      </c>
      <c r="B18" s="77">
        <v>2.84</v>
      </c>
      <c r="C18" s="62">
        <f t="shared" si="1"/>
        <v>27733395.65724</v>
      </c>
      <c r="D18" s="63">
        <f>'CUADRO 1 - CENSO 2020'!C19</f>
        <v>33567</v>
      </c>
      <c r="E18" s="64">
        <f t="shared" si="2"/>
        <v>2.7169725186489848</v>
      </c>
      <c r="F18" s="65">
        <f t="shared" si="3"/>
        <v>1.6301835111893908</v>
      </c>
      <c r="G18" s="66">
        <f>Datos!$I$12*'CUADRO 6 -FGP'!F18/100</f>
        <v>20007242.131348472</v>
      </c>
      <c r="H18" s="67">
        <f>'CUADRO 2 -Predial y Agua'!D16</f>
        <v>3313181</v>
      </c>
      <c r="I18" s="68">
        <f>'CUADRO 2 -Predial y Agua'!G16</f>
        <v>3914840.08</v>
      </c>
      <c r="J18" s="64">
        <f t="shared" si="4"/>
        <v>1.1815955964977465</v>
      </c>
      <c r="K18" s="64">
        <f t="shared" si="5"/>
        <v>5.3157244888087307</v>
      </c>
      <c r="L18" s="78">
        <f t="shared" si="6"/>
        <v>1.5947173466426192</v>
      </c>
      <c r="M18" s="69">
        <f>Datos!$I$12*'CUADRO 6 -FGP'!L18/100</f>
        <v>19571965.896073714</v>
      </c>
      <c r="N18" s="79">
        <f t="shared" si="7"/>
        <v>39579208.02742219</v>
      </c>
      <c r="O18" s="78">
        <f t="shared" si="8"/>
        <v>3.2249008578320097</v>
      </c>
      <c r="P18" s="78">
        <f t="shared" si="9"/>
        <v>0.31008705200080655</v>
      </c>
      <c r="Q18" s="78">
        <f t="shared" si="10"/>
        <v>4.6252211394587865</v>
      </c>
      <c r="R18" s="78">
        <f t="shared" si="11"/>
        <v>0.46252211394587867</v>
      </c>
      <c r="S18" s="71">
        <f>Datos!$I$12*'CUADRO 6 -FGP'!R18/100</f>
        <v>5676533.8756657671</v>
      </c>
      <c r="T18" s="72">
        <f t="shared" si="12"/>
        <v>72989137.560327962</v>
      </c>
      <c r="U18" s="73">
        <f t="shared" si="13"/>
        <v>3.687422971777889</v>
      </c>
      <c r="V18" s="74"/>
      <c r="W18" s="75">
        <v>0.85819469233584766</v>
      </c>
      <c r="X18" s="75">
        <f t="shared" si="0"/>
        <v>0.32340090416189882</v>
      </c>
      <c r="Y18" s="76"/>
      <c r="Z18" s="76"/>
      <c r="AA18" s="74"/>
      <c r="AB18" s="74"/>
    </row>
    <row r="19" spans="1:28" s="5" customFormat="1" ht="16.5" customHeight="1" x14ac:dyDescent="0.25">
      <c r="A19" s="60" t="s">
        <v>56</v>
      </c>
      <c r="B19" s="77">
        <v>3.33</v>
      </c>
      <c r="C19" s="62">
        <f t="shared" si="1"/>
        <v>32518382.936129998</v>
      </c>
      <c r="D19" s="63">
        <f>'CUADRO 1 - CENSO 2020'!C20</f>
        <v>24096</v>
      </c>
      <c r="E19" s="64">
        <f t="shared" si="2"/>
        <v>1.9503729796933278</v>
      </c>
      <c r="F19" s="65">
        <f t="shared" si="3"/>
        <v>1.1702237878159967</v>
      </c>
      <c r="G19" s="66">
        <f>Datos!$I$12*'CUADRO 6 -FGP'!F19/100</f>
        <v>14362156.475019298</v>
      </c>
      <c r="H19" s="67">
        <f>'CUADRO 2 -Predial y Agua'!D17</f>
        <v>3637131</v>
      </c>
      <c r="I19" s="68">
        <f>'CUADRO 2 -Predial y Agua'!G17</f>
        <v>3308501.2800000003</v>
      </c>
      <c r="J19" s="64">
        <f t="shared" si="4"/>
        <v>0.909645893975224</v>
      </c>
      <c r="K19" s="64">
        <f t="shared" si="5"/>
        <v>4.092285862507131</v>
      </c>
      <c r="L19" s="78">
        <f t="shared" si="6"/>
        <v>1.2276857587521393</v>
      </c>
      <c r="M19" s="69">
        <f>Datos!$I$12*'CUADRO 6 -FGP'!L19/100</f>
        <v>15067387.240741568</v>
      </c>
      <c r="N19" s="79">
        <f t="shared" si="7"/>
        <v>29429543.715760864</v>
      </c>
      <c r="O19" s="78">
        <f t="shared" si="8"/>
        <v>2.3979095465681359</v>
      </c>
      <c r="P19" s="78">
        <f t="shared" si="9"/>
        <v>0.41702990900185954</v>
      </c>
      <c r="Q19" s="78">
        <f t="shared" si="10"/>
        <v>6.2203679207378118</v>
      </c>
      <c r="R19" s="78">
        <f t="shared" si="11"/>
        <v>0.62203679207378126</v>
      </c>
      <c r="S19" s="71">
        <f>Datos!$I$12*'CUADRO 6 -FGP'!R19/100</f>
        <v>7634257.5103997281</v>
      </c>
      <c r="T19" s="72">
        <f t="shared" si="12"/>
        <v>69582184.162290588</v>
      </c>
      <c r="U19" s="73">
        <f t="shared" si="13"/>
        <v>3.0199463386419172</v>
      </c>
      <c r="V19" s="74"/>
      <c r="W19" s="75">
        <v>0.30847701853884074</v>
      </c>
      <c r="X19" s="75">
        <f t="shared" si="0"/>
        <v>0.60116887543638331</v>
      </c>
      <c r="Y19" s="76"/>
      <c r="Z19" s="76"/>
      <c r="AA19" s="74"/>
      <c r="AB19" s="74"/>
    </row>
    <row r="20" spans="1:28" s="5" customFormat="1" ht="16.5" customHeight="1" x14ac:dyDescent="0.25">
      <c r="A20" s="60" t="s">
        <v>57</v>
      </c>
      <c r="B20" s="77">
        <v>4.6900000000000004</v>
      </c>
      <c r="C20" s="62">
        <f t="shared" si="1"/>
        <v>45799163.955090009</v>
      </c>
      <c r="D20" s="63">
        <f>'CUADRO 1 - CENSO 2020'!C21</f>
        <v>41518</v>
      </c>
      <c r="E20" s="64">
        <f t="shared" si="2"/>
        <v>3.3605405615416495</v>
      </c>
      <c r="F20" s="65">
        <f t="shared" si="3"/>
        <v>2.0163243369249897</v>
      </c>
      <c r="G20" s="66">
        <f>Datos!$I$12*'CUADRO 6 -FGP'!F20/100</f>
        <v>24746348.461564213</v>
      </c>
      <c r="H20" s="67">
        <f>'CUADRO 2 -Predial y Agua'!D18</f>
        <v>8815160</v>
      </c>
      <c r="I20" s="68">
        <f>'CUADRO 2 -Predial y Agua'!G18</f>
        <v>9332427.3200000003</v>
      </c>
      <c r="J20" s="64">
        <f t="shared" si="4"/>
        <v>1.0586792888614613</v>
      </c>
      <c r="K20" s="64">
        <f t="shared" si="5"/>
        <v>4.7627525341799242</v>
      </c>
      <c r="L20" s="78">
        <f t="shared" si="6"/>
        <v>1.4288257602539771</v>
      </c>
      <c r="M20" s="69">
        <f>Datos!$I$12*'CUADRO 6 -FGP'!L20/100</f>
        <v>17535978.466652658</v>
      </c>
      <c r="N20" s="79">
        <f t="shared" si="7"/>
        <v>42282326.928216875</v>
      </c>
      <c r="O20" s="78">
        <f t="shared" si="8"/>
        <v>3.445150097178967</v>
      </c>
      <c r="P20" s="78">
        <f t="shared" si="9"/>
        <v>0.29026311533388394</v>
      </c>
      <c r="Q20" s="78">
        <f t="shared" si="10"/>
        <v>4.3295296865344506</v>
      </c>
      <c r="R20" s="78">
        <f t="shared" si="11"/>
        <v>0.43295296865344507</v>
      </c>
      <c r="S20" s="71">
        <f>Datos!$I$12*'CUADRO 6 -FGP'!R20/100</f>
        <v>5313631.7573324097</v>
      </c>
      <c r="T20" s="72">
        <f t="shared" si="12"/>
        <v>93395122.640639305</v>
      </c>
      <c r="U20" s="73">
        <f t="shared" si="13"/>
        <v>3.8781030658324118</v>
      </c>
      <c r="V20" s="74"/>
      <c r="W20" s="75">
        <v>0.9189459125639704</v>
      </c>
      <c r="X20" s="75">
        <f t="shared" si="0"/>
        <v>0.13973337629749094</v>
      </c>
      <c r="Y20" s="76"/>
      <c r="Z20" s="76"/>
      <c r="AA20" s="74"/>
      <c r="AB20" s="74"/>
    </row>
    <row r="21" spans="1:28" s="5" customFormat="1" ht="16.5" customHeight="1" x14ac:dyDescent="0.25">
      <c r="A21" s="60" t="s">
        <v>58</v>
      </c>
      <c r="B21" s="77">
        <v>2.13</v>
      </c>
      <c r="C21" s="62">
        <f t="shared" si="1"/>
        <v>20800046.742929999</v>
      </c>
      <c r="D21" s="63">
        <f>'CUADRO 1 - CENSO 2020'!C22</f>
        <v>7683</v>
      </c>
      <c r="E21" s="64">
        <f t="shared" si="2"/>
        <v>0.62187564753418989</v>
      </c>
      <c r="F21" s="65">
        <f t="shared" si="3"/>
        <v>0.37312538852051391</v>
      </c>
      <c r="G21" s="66">
        <f>Datos!$I$12*'CUADRO 6 -FGP'!F21/100</f>
        <v>4579367.8700852124</v>
      </c>
      <c r="H21" s="67">
        <f>'CUADRO 2 -Predial y Agua'!D19</f>
        <v>2474442</v>
      </c>
      <c r="I21" s="68">
        <f>'CUADRO 2 -Predial y Agua'!G19</f>
        <v>2544565.9000000004</v>
      </c>
      <c r="J21" s="64">
        <f t="shared" si="4"/>
        <v>1.0283392781079534</v>
      </c>
      <c r="K21" s="64">
        <f t="shared" si="5"/>
        <v>4.626259863903246</v>
      </c>
      <c r="L21" s="78">
        <f t="shared" si="6"/>
        <v>1.3878779591709738</v>
      </c>
      <c r="M21" s="69">
        <f>Datos!$I$12*'CUADRO 6 -FGP'!L21/100</f>
        <v>17033426.106509961</v>
      </c>
      <c r="N21" s="79">
        <f t="shared" si="7"/>
        <v>21612793.976595175</v>
      </c>
      <c r="O21" s="78">
        <f t="shared" si="8"/>
        <v>1.7610033476914877</v>
      </c>
      <c r="P21" s="78">
        <f t="shared" si="9"/>
        <v>0.56785809141754751</v>
      </c>
      <c r="Q21" s="78">
        <f t="shared" si="10"/>
        <v>8.4701029329993744</v>
      </c>
      <c r="R21" s="78">
        <f t="shared" si="11"/>
        <v>0.84701029329993749</v>
      </c>
      <c r="S21" s="71">
        <f>Datos!$I$12*'CUADRO 6 -FGP'!R21/100</f>
        <v>10395357.276943743</v>
      </c>
      <c r="T21" s="72">
        <f t="shared" si="12"/>
        <v>52808197.996468917</v>
      </c>
      <c r="U21" s="73">
        <f t="shared" si="13"/>
        <v>2.6080136409914254</v>
      </c>
      <c r="V21" s="74"/>
      <c r="W21" s="75">
        <v>0.95554775379956836</v>
      </c>
      <c r="X21" s="75">
        <f t="shared" si="0"/>
        <v>7.2791524308385092E-2</v>
      </c>
      <c r="Y21" s="76"/>
      <c r="Z21" s="76"/>
      <c r="AA21" s="74"/>
      <c r="AB21" s="74"/>
    </row>
    <row r="22" spans="1:28" s="5" customFormat="1" ht="16.5" customHeight="1" x14ac:dyDescent="0.25">
      <c r="A22" s="60" t="s">
        <v>59</v>
      </c>
      <c r="B22" s="77">
        <v>2.81</v>
      </c>
      <c r="C22" s="62">
        <f t="shared" si="1"/>
        <v>27440437.252410002</v>
      </c>
      <c r="D22" s="63">
        <f>'CUADRO 1 - CENSO 2020'!C23</f>
        <v>24911</v>
      </c>
      <c r="E22" s="64">
        <f t="shared" si="2"/>
        <v>2.0163405252797348</v>
      </c>
      <c r="F22" s="65">
        <f t="shared" si="3"/>
        <v>1.2098043151678408</v>
      </c>
      <c r="G22" s="66">
        <f>Datos!$I$12*'CUADRO 6 -FGP'!F22/100</f>
        <v>14847928.284744592</v>
      </c>
      <c r="H22" s="67">
        <f>'CUADRO 2 -Predial y Agua'!D20</f>
        <v>5528028</v>
      </c>
      <c r="I22" s="68">
        <f>'CUADRO 2 -Predial y Agua'!G20</f>
        <v>4892870.55</v>
      </c>
      <c r="J22" s="64">
        <f t="shared" si="4"/>
        <v>0.88510234571894353</v>
      </c>
      <c r="K22" s="64">
        <f t="shared" si="5"/>
        <v>3.9818701323750343</v>
      </c>
      <c r="L22" s="78">
        <f t="shared" si="6"/>
        <v>1.1945610397125102</v>
      </c>
      <c r="M22" s="69">
        <f>Datos!$I$12*'CUADRO 6 -FGP'!L22/100</f>
        <v>14660847.566030214</v>
      </c>
      <c r="N22" s="79">
        <f t="shared" si="7"/>
        <v>29508775.850774806</v>
      </c>
      <c r="O22" s="78">
        <f t="shared" si="8"/>
        <v>2.4043653548803512</v>
      </c>
      <c r="P22" s="78">
        <f t="shared" si="9"/>
        <v>0.41591016854830831</v>
      </c>
      <c r="Q22" s="78">
        <f t="shared" si="10"/>
        <v>6.2036660069266576</v>
      </c>
      <c r="R22" s="78">
        <f t="shared" si="11"/>
        <v>0.6203666006926658</v>
      </c>
      <c r="S22" s="71">
        <f>Datos!$I$12*'CUADRO 6 -FGP'!R22/100</f>
        <v>7613759.2516832678</v>
      </c>
      <c r="T22" s="72">
        <f t="shared" si="12"/>
        <v>64562972.354868069</v>
      </c>
      <c r="U22" s="73">
        <f t="shared" si="13"/>
        <v>3.0247319555730168</v>
      </c>
      <c r="V22" s="74"/>
      <c r="W22" s="75">
        <v>1.699762368686244</v>
      </c>
      <c r="X22" s="75">
        <f t="shared" si="0"/>
        <v>-0.81466002296730045</v>
      </c>
      <c r="Y22" s="76"/>
      <c r="Z22" s="76"/>
      <c r="AA22" s="74"/>
      <c r="AB22" s="74"/>
    </row>
    <row r="23" spans="1:28" s="5" customFormat="1" ht="16.5" customHeight="1" x14ac:dyDescent="0.25">
      <c r="A23" s="60" t="s">
        <v>60</v>
      </c>
      <c r="B23" s="77">
        <v>8.34</v>
      </c>
      <c r="C23" s="62">
        <f t="shared" si="1"/>
        <v>81442436.542740002</v>
      </c>
      <c r="D23" s="63">
        <f>'CUADRO 1 - CENSO 2020'!C24</f>
        <v>93981</v>
      </c>
      <c r="E23" s="64">
        <f t="shared" si="2"/>
        <v>7.6069888365105687</v>
      </c>
      <c r="F23" s="65">
        <f t="shared" si="3"/>
        <v>4.5641933019063412</v>
      </c>
      <c r="G23" s="66">
        <f>Datos!$I$12*'CUADRO 6 -FGP'!F23/100</f>
        <v>56016344.110175498</v>
      </c>
      <c r="H23" s="67">
        <f>'CUADRO 2 -Predial y Agua'!D21</f>
        <v>16766723</v>
      </c>
      <c r="I23" s="68">
        <f>'CUADRO 2 -Predial y Agua'!G21</f>
        <v>27929195.390000001</v>
      </c>
      <c r="J23" s="64">
        <f t="shared" si="4"/>
        <v>1.665751583657701</v>
      </c>
      <c r="K23" s="64">
        <f t="shared" si="5"/>
        <v>7.4938299632856271</v>
      </c>
      <c r="L23" s="78">
        <f t="shared" si="6"/>
        <v>2.248148988985688</v>
      </c>
      <c r="M23" s="69">
        <f>Datos!$I$12*'CUADRO 6 -FGP'!L23/100</f>
        <v>27591532.401874077</v>
      </c>
      <c r="N23" s="79">
        <f t="shared" si="7"/>
        <v>83607876.512049571</v>
      </c>
      <c r="O23" s="78">
        <f t="shared" si="8"/>
        <v>6.8123422908920297</v>
      </c>
      <c r="P23" s="78">
        <f t="shared" si="9"/>
        <v>0.14679238906374106</v>
      </c>
      <c r="Q23" s="78">
        <f t="shared" si="10"/>
        <v>2.1895376044515009</v>
      </c>
      <c r="R23" s="78">
        <f t="shared" si="11"/>
        <v>0.21895376044515011</v>
      </c>
      <c r="S23" s="71">
        <f>Datos!$I$12*'CUADRO 6 -FGP'!R23/100</f>
        <v>2687219.4883134561</v>
      </c>
      <c r="T23" s="72">
        <f t="shared" si="12"/>
        <v>167737532.54310304</v>
      </c>
      <c r="U23" s="73">
        <f t="shared" si="13"/>
        <v>7.0312960513371792</v>
      </c>
      <c r="V23" s="74"/>
      <c r="W23" s="75">
        <v>1.2135546261977699</v>
      </c>
      <c r="X23" s="75">
        <f t="shared" si="0"/>
        <v>0.45219695745993116</v>
      </c>
      <c r="Y23" s="76"/>
      <c r="Z23" s="76"/>
      <c r="AA23" s="74"/>
      <c r="AB23" s="74"/>
    </row>
    <row r="24" spans="1:28" s="5" customFormat="1" ht="16.5" customHeight="1" x14ac:dyDescent="0.25">
      <c r="A24" s="60" t="s">
        <v>61</v>
      </c>
      <c r="B24" s="77">
        <v>3.5</v>
      </c>
      <c r="C24" s="62">
        <f t="shared" si="1"/>
        <v>34178480.563500002</v>
      </c>
      <c r="D24" s="63">
        <f>'CUADRO 1 - CENSO 2020'!C25</f>
        <v>37135</v>
      </c>
      <c r="E24" s="64">
        <f t="shared" si="2"/>
        <v>3.0057727673021133</v>
      </c>
      <c r="F24" s="65">
        <f t="shared" si="3"/>
        <v>1.8034636603812679</v>
      </c>
      <c r="G24" s="66">
        <f>Datos!$I$12*'CUADRO 6 -FGP'!F24/100</f>
        <v>22133909.391593691</v>
      </c>
      <c r="H24" s="67">
        <f>'CUADRO 2 -Predial y Agua'!D22</f>
        <v>8099581</v>
      </c>
      <c r="I24" s="68">
        <f>'CUADRO 2 -Predial y Agua'!G22</f>
        <v>7019368.6100000003</v>
      </c>
      <c r="J24" s="64">
        <f t="shared" si="4"/>
        <v>0.86663354684643568</v>
      </c>
      <c r="K24" s="64">
        <f t="shared" si="5"/>
        <v>3.8987832905346749</v>
      </c>
      <c r="L24" s="78">
        <f t="shared" si="6"/>
        <v>1.1696349871604024</v>
      </c>
      <c r="M24" s="69">
        <f>Datos!$I$12*'CUADRO 6 -FGP'!L24/100</f>
        <v>14354930.124609843</v>
      </c>
      <c r="N24" s="79">
        <f t="shared" si="7"/>
        <v>36488839.516203538</v>
      </c>
      <c r="O24" s="78">
        <f t="shared" si="8"/>
        <v>2.9730986475416703</v>
      </c>
      <c r="P24" s="78">
        <f t="shared" si="9"/>
        <v>0.33634941808165625</v>
      </c>
      <c r="Q24" s="78">
        <f t="shared" si="10"/>
        <v>5.0169474304650796</v>
      </c>
      <c r="R24" s="78">
        <f t="shared" si="11"/>
        <v>0.50169474304650796</v>
      </c>
      <c r="S24" s="71">
        <f>Datos!$I$12*'CUADRO 6 -FGP'!R24/100</f>
        <v>6157299.5501792952</v>
      </c>
      <c r="T24" s="72">
        <f t="shared" si="12"/>
        <v>76824619.629882842</v>
      </c>
      <c r="U24" s="73">
        <f t="shared" si="13"/>
        <v>3.4747933905881783</v>
      </c>
      <c r="V24" s="74"/>
      <c r="W24" s="75">
        <v>0.93743913529070699</v>
      </c>
      <c r="X24" s="75">
        <f t="shared" si="0"/>
        <v>-7.0805588444271317E-2</v>
      </c>
      <c r="Y24" s="76"/>
      <c r="Z24" s="76"/>
      <c r="AA24" s="74"/>
      <c r="AB24" s="74"/>
    </row>
    <row r="25" spans="1:28" s="5" customFormat="1" ht="16.5" customHeight="1" x14ac:dyDescent="0.25">
      <c r="A25" s="60" t="s">
        <v>62</v>
      </c>
      <c r="B25" s="77">
        <v>39</v>
      </c>
      <c r="C25" s="62">
        <f t="shared" si="1"/>
        <v>380845926.27900004</v>
      </c>
      <c r="D25" s="63">
        <f>'CUADRO 1 - CENSO 2020'!C26</f>
        <v>425924</v>
      </c>
      <c r="E25" s="64">
        <f t="shared" si="2"/>
        <v>34.475044032324909</v>
      </c>
      <c r="F25" s="65">
        <f t="shared" si="3"/>
        <v>20.685026419394944</v>
      </c>
      <c r="G25" s="66">
        <f>Datos!$I$12*'CUADRO 6 -FGP'!F25/100</f>
        <v>253867327.9575913</v>
      </c>
      <c r="H25" s="67">
        <f>'CUADRO 2 -Predial y Agua'!D23</f>
        <v>329424771</v>
      </c>
      <c r="I25" s="68">
        <f>'CUADRO 2 -Predial y Agua'!G23</f>
        <v>341491450.50999999</v>
      </c>
      <c r="J25" s="64">
        <f t="shared" si="4"/>
        <v>1.0366295451109231</v>
      </c>
      <c r="K25" s="64">
        <f t="shared" si="5"/>
        <v>4.6635558520205587</v>
      </c>
      <c r="L25" s="78">
        <f t="shared" si="6"/>
        <v>1.3990667556061676</v>
      </c>
      <c r="M25" s="69">
        <f>Datos!$I$12*'CUADRO 6 -FGP'!L25/100</f>
        <v>17170746.204462592</v>
      </c>
      <c r="N25" s="79">
        <f t="shared" si="7"/>
        <v>271038074.16205388</v>
      </c>
      <c r="O25" s="78">
        <f t="shared" si="8"/>
        <v>22.084093175001112</v>
      </c>
      <c r="P25" s="78">
        <f t="shared" si="9"/>
        <v>4.5281460826835589E-2</v>
      </c>
      <c r="Q25" s="78">
        <f t="shared" si="10"/>
        <v>0.67541281872456305</v>
      </c>
      <c r="R25" s="78">
        <f t="shared" si="11"/>
        <v>6.754128187245631E-2</v>
      </c>
      <c r="S25" s="71">
        <f>Datos!$I$12*'CUADRO 6 -FGP'!R25/100</f>
        <v>828934.14821621147</v>
      </c>
      <c r="T25" s="72">
        <f t="shared" si="12"/>
        <v>652712934.58927023</v>
      </c>
      <c r="U25" s="73">
        <f t="shared" si="13"/>
        <v>22.15163445687357</v>
      </c>
      <c r="V25" s="74"/>
      <c r="W25" s="75">
        <v>0.78971025252641724</v>
      </c>
      <c r="X25" s="75">
        <f t="shared" si="0"/>
        <v>0.24691929258450585</v>
      </c>
      <c r="Y25" s="76"/>
      <c r="Z25" s="76"/>
      <c r="AA25" s="74"/>
      <c r="AB25" s="74"/>
    </row>
    <row r="26" spans="1:28" s="5" customFormat="1" ht="16.5" customHeight="1" x14ac:dyDescent="0.25">
      <c r="A26" s="60" t="s">
        <v>63</v>
      </c>
      <c r="B26" s="77">
        <v>3.79</v>
      </c>
      <c r="C26" s="62">
        <f t="shared" si="1"/>
        <v>37010411.81019</v>
      </c>
      <c r="D26" s="63">
        <f>'CUADRO 1 - CENSO 2020'!C27</f>
        <v>30064</v>
      </c>
      <c r="E26" s="64">
        <f t="shared" si="2"/>
        <v>2.4334334852880231</v>
      </c>
      <c r="F26" s="65">
        <f t="shared" si="3"/>
        <v>1.4600600911728139</v>
      </c>
      <c r="G26" s="66">
        <f>Datos!$I$12*'CUADRO 6 -FGP'!F26/100</f>
        <v>17919317.408075206</v>
      </c>
      <c r="H26" s="67">
        <f>'CUADRO 2 -Predial y Agua'!D24</f>
        <v>4053100</v>
      </c>
      <c r="I26" s="68">
        <f>'CUADRO 2 -Predial y Agua'!G24</f>
        <v>5251750.58</v>
      </c>
      <c r="J26" s="64">
        <f t="shared" si="4"/>
        <v>1.2957367397794282</v>
      </c>
      <c r="K26" s="64">
        <f t="shared" si="5"/>
        <v>5.829219014618956</v>
      </c>
      <c r="L26" s="78">
        <f t="shared" si="6"/>
        <v>1.7487657043856868</v>
      </c>
      <c r="M26" s="69">
        <f>Datos!$I$12*'CUADRO 6 -FGP'!L26/100</f>
        <v>21462601.381064869</v>
      </c>
      <c r="N26" s="79">
        <f t="shared" si="7"/>
        <v>39381918.789140075</v>
      </c>
      <c r="O26" s="78">
        <f t="shared" si="8"/>
        <v>3.2088257955585009</v>
      </c>
      <c r="P26" s="78">
        <f t="shared" si="9"/>
        <v>0.31164047652077309</v>
      </c>
      <c r="Q26" s="78">
        <f t="shared" si="10"/>
        <v>4.6483918325978344</v>
      </c>
      <c r="R26" s="78">
        <f t="shared" si="11"/>
        <v>0.46483918325978346</v>
      </c>
      <c r="S26" s="71">
        <f>Datos!$I$12*'CUADRO 6 -FGP'!R26/100</f>
        <v>5704971.2672110833</v>
      </c>
      <c r="T26" s="72">
        <f t="shared" si="12"/>
        <v>82097301.866541147</v>
      </c>
      <c r="U26" s="73">
        <f t="shared" si="13"/>
        <v>3.6736649788182838</v>
      </c>
      <c r="V26" s="74"/>
      <c r="W26" s="75">
        <v>1.0987404654646735</v>
      </c>
      <c r="X26" s="75">
        <f t="shared" si="0"/>
        <v>0.19699627431475464</v>
      </c>
      <c r="Y26" s="76"/>
      <c r="Z26" s="76"/>
      <c r="AA26" s="74"/>
      <c r="AB26" s="74"/>
    </row>
    <row r="27" spans="1:28" s="5" customFormat="1" ht="16.5" customHeight="1" thickBot="1" x14ac:dyDescent="0.3">
      <c r="A27" s="80" t="s">
        <v>64</v>
      </c>
      <c r="B27" s="293">
        <v>3.1</v>
      </c>
      <c r="C27" s="294">
        <f t="shared" si="1"/>
        <v>30272368.499100003</v>
      </c>
      <c r="D27" s="295">
        <f>'CUADRO 1 - CENSO 2020'!C28</f>
        <v>65229</v>
      </c>
      <c r="E27" s="296">
        <f t="shared" si="2"/>
        <v>5.2797509583506006</v>
      </c>
      <c r="F27" s="297">
        <f t="shared" si="3"/>
        <v>3.1678505750103603</v>
      </c>
      <c r="G27" s="298">
        <f>Datos!$I$12*'CUADRO 6 -FGP'!F27/100</f>
        <v>38879029.909903452</v>
      </c>
      <c r="H27" s="299">
        <f>'CUADRO 2 -Predial y Agua'!D25</f>
        <v>48433262</v>
      </c>
      <c r="I27" s="300">
        <f>'CUADRO 2 -Predial y Agua'!G25</f>
        <v>56062887.089999996</v>
      </c>
      <c r="J27" s="296">
        <f t="shared" si="4"/>
        <v>1.1575286234076076</v>
      </c>
      <c r="K27" s="296">
        <f t="shared" si="5"/>
        <v>5.2074527597959053</v>
      </c>
      <c r="L27" s="296">
        <f t="shared" si="6"/>
        <v>1.5622358279387716</v>
      </c>
      <c r="M27" s="301">
        <f>Datos!$I$12*'CUADRO 6 -FGP'!L27/100</f>
        <v>19173320.219043363</v>
      </c>
      <c r="N27" s="302">
        <f t="shared" si="7"/>
        <v>58052350.128946811</v>
      </c>
      <c r="O27" s="296">
        <f t="shared" si="8"/>
        <v>4.7300864029491319</v>
      </c>
      <c r="P27" s="296">
        <f t="shared" si="9"/>
        <v>0.21141262861002208</v>
      </c>
      <c r="Q27" s="296">
        <f t="shared" si="10"/>
        <v>3.1534053185589968</v>
      </c>
      <c r="R27" s="296">
        <f t="shared" si="11"/>
        <v>0.31534053185589972</v>
      </c>
      <c r="S27" s="303">
        <f>Datos!$I$12*'CUADRO 6 -FGP'!R27/100</f>
        <v>3870174.3278375096</v>
      </c>
      <c r="T27" s="304">
        <f t="shared" si="12"/>
        <v>92194892.955884323</v>
      </c>
      <c r="U27" s="73">
        <f t="shared" si="13"/>
        <v>5.0454269348050316</v>
      </c>
      <c r="V27" s="74"/>
      <c r="W27" s="75">
        <v>1.0459205946760619</v>
      </c>
      <c r="X27" s="75">
        <f t="shared" si="0"/>
        <v>0.11160802873154574</v>
      </c>
      <c r="Y27" s="76"/>
      <c r="Z27" s="76"/>
      <c r="AA27" s="74"/>
      <c r="AB27" s="74"/>
    </row>
    <row r="28" spans="1:28" s="5" customFormat="1" ht="16.5" customHeight="1" thickBot="1" x14ac:dyDescent="0.3">
      <c r="A28" s="81" t="s">
        <v>65</v>
      </c>
      <c r="B28" s="416">
        <f>SUM(B8:B27)</f>
        <v>100</v>
      </c>
      <c r="C28" s="417">
        <f>Datos!I10*22.5%</f>
        <v>976528016.10000002</v>
      </c>
      <c r="D28" s="206">
        <f>SUM(D8:D27)</f>
        <v>1235456</v>
      </c>
      <c r="E28" s="207">
        <f>SUM(E8:E27)</f>
        <v>100</v>
      </c>
      <c r="F28" s="208">
        <f t="shared" ref="F28:M28" si="14">SUM(F8:F27)</f>
        <v>59.999999999999993</v>
      </c>
      <c r="G28" s="209">
        <f>SUM(G8:G27)</f>
        <v>736379996.2650001</v>
      </c>
      <c r="H28" s="210">
        <f t="shared" si="14"/>
        <v>933018792</v>
      </c>
      <c r="I28" s="211">
        <f t="shared" si="14"/>
        <v>1039445326.0500001</v>
      </c>
      <c r="J28" s="207">
        <f t="shared" si="14"/>
        <v>22.228307712060253</v>
      </c>
      <c r="K28" s="212">
        <f t="shared" si="14"/>
        <v>100.00000000000001</v>
      </c>
      <c r="L28" s="208">
        <f t="shared" si="14"/>
        <v>29.999999999999996</v>
      </c>
      <c r="M28" s="213">
        <f t="shared" si="14"/>
        <v>368189998.13249999</v>
      </c>
      <c r="N28" s="214">
        <f t="shared" si="7"/>
        <v>1104569994.3975</v>
      </c>
      <c r="O28" s="212">
        <f t="shared" ref="O28:T28" si="15">SUM(O8:O27)</f>
        <v>89.999999999999986</v>
      </c>
      <c r="P28" s="212">
        <f t="shared" si="15"/>
        <v>6.7042643508520099</v>
      </c>
      <c r="Q28" s="212">
        <f t="shared" si="15"/>
        <v>100</v>
      </c>
      <c r="R28" s="212">
        <f t="shared" si="15"/>
        <v>10</v>
      </c>
      <c r="S28" s="213">
        <f>Datos!I17</f>
        <v>122729999.37750001</v>
      </c>
      <c r="T28" s="305">
        <f t="shared" si="15"/>
        <v>2203828009.875</v>
      </c>
      <c r="U28" s="73">
        <f t="shared" si="13"/>
        <v>100</v>
      </c>
      <c r="V28" s="74"/>
      <c r="W28" s="75">
        <f>SUM(W8:W27)</f>
        <v>24.538698253136822</v>
      </c>
      <c r="X28" s="75"/>
      <c r="Y28" s="76"/>
      <c r="Z28" s="76"/>
      <c r="AA28" s="74"/>
      <c r="AB28" s="74"/>
    </row>
    <row r="29" spans="1:28" s="5" customFormat="1" ht="16.5" customHeight="1" x14ac:dyDescent="0.25">
      <c r="A29" s="1069" t="s">
        <v>271</v>
      </c>
      <c r="B29" s="1069"/>
      <c r="C29" s="1069"/>
      <c r="D29" s="1069"/>
      <c r="E29" s="1069"/>
      <c r="F29" s="1069"/>
      <c r="G29" s="1069"/>
      <c r="H29" s="1069"/>
      <c r="I29" s="1069"/>
      <c r="J29" s="1069"/>
      <c r="K29" s="1069"/>
      <c r="L29" s="1069"/>
      <c r="M29" s="1069"/>
      <c r="N29" s="1069"/>
      <c r="O29" s="1069"/>
      <c r="P29" s="1069"/>
      <c r="Q29" s="1069"/>
      <c r="R29" s="1069"/>
      <c r="S29" s="1069"/>
      <c r="T29" s="1069"/>
      <c r="U29" s="418"/>
      <c r="V29" s="74"/>
      <c r="W29" s="75"/>
      <c r="X29" s="75"/>
      <c r="Y29" s="76"/>
      <c r="Z29" s="76"/>
      <c r="AA29" s="74"/>
      <c r="AB29" s="74"/>
    </row>
    <row r="30" spans="1:28" s="5" customFormat="1" ht="21.75" customHeight="1" x14ac:dyDescent="0.25">
      <c r="A30" s="419"/>
      <c r="B30" s="429" t="s">
        <v>80</v>
      </c>
      <c r="C30" s="419"/>
      <c r="D30" s="419"/>
      <c r="E30" s="419"/>
      <c r="F30" s="419"/>
      <c r="G30" s="420"/>
      <c r="H30" s="421"/>
      <c r="I30" s="420"/>
      <c r="J30" s="422"/>
      <c r="K30" s="422"/>
      <c r="L30" s="422"/>
      <c r="M30" s="422"/>
      <c r="N30" s="422"/>
      <c r="O30" s="422"/>
      <c r="P30" s="422"/>
      <c r="Q30" s="422"/>
      <c r="R30" s="422"/>
      <c r="S30" s="422"/>
      <c r="T30" s="422"/>
      <c r="X30" s="75"/>
    </row>
    <row r="31" spans="1:28" s="5" customFormat="1" ht="27" customHeight="1" x14ac:dyDescent="0.25">
      <c r="A31" s="419"/>
      <c r="B31" s="1068" t="s">
        <v>273</v>
      </c>
      <c r="C31" s="1068"/>
      <c r="D31" s="1068"/>
      <c r="E31" s="1068"/>
      <c r="F31" s="1068"/>
      <c r="G31" s="1068"/>
      <c r="H31" s="1068"/>
      <c r="I31" s="1068"/>
      <c r="J31" s="1068"/>
      <c r="K31" s="1068"/>
      <c r="L31" s="1068"/>
      <c r="M31" s="1068"/>
      <c r="N31" s="1068"/>
      <c r="O31" s="1068"/>
      <c r="P31" s="1068"/>
      <c r="Q31" s="1068"/>
      <c r="R31" s="1068"/>
      <c r="S31" s="1068"/>
      <c r="T31" s="1068"/>
      <c r="X31" s="75"/>
    </row>
    <row r="32" spans="1:28" ht="15" customHeight="1" x14ac:dyDescent="0.25">
      <c r="A32" s="423"/>
      <c r="B32" s="1070" t="s">
        <v>314</v>
      </c>
      <c r="C32" s="1070"/>
      <c r="D32" s="1070"/>
      <c r="E32" s="1070"/>
      <c r="F32" s="1070"/>
      <c r="G32" s="1070"/>
      <c r="H32" s="1070"/>
      <c r="I32" s="1070"/>
      <c r="J32" s="1070"/>
      <c r="K32" s="1070"/>
      <c r="L32" s="1070"/>
      <c r="M32" s="1070"/>
      <c r="N32" s="1070"/>
      <c r="O32" s="1070"/>
      <c r="P32" s="1070"/>
      <c r="Q32" s="1070"/>
      <c r="R32" s="1070"/>
      <c r="S32" s="1070"/>
      <c r="T32" s="1070"/>
    </row>
    <row r="33" spans="1:20" x14ac:dyDescent="0.25">
      <c r="A33" s="423"/>
      <c r="B33" s="1070" t="s">
        <v>274</v>
      </c>
      <c r="C33" s="1070"/>
      <c r="D33" s="1070"/>
      <c r="E33" s="1070"/>
      <c r="F33" s="1070"/>
      <c r="G33" s="1070"/>
      <c r="H33" s="1070"/>
      <c r="I33" s="1070"/>
      <c r="J33" s="1070"/>
      <c r="K33" s="1070"/>
      <c r="L33" s="1070"/>
      <c r="M33" s="1070"/>
      <c r="N33" s="1070"/>
      <c r="O33" s="1070"/>
      <c r="P33" s="1070"/>
      <c r="Q33" s="1070"/>
      <c r="R33" s="1070"/>
      <c r="S33" s="1070"/>
      <c r="T33" s="1070"/>
    </row>
    <row r="34" spans="1:20" ht="15" customHeight="1" x14ac:dyDescent="0.25">
      <c r="A34" s="423"/>
      <c r="B34" s="1067"/>
      <c r="C34" s="1067"/>
      <c r="D34" s="1067"/>
      <c r="E34" s="1067"/>
      <c r="F34" s="1067"/>
      <c r="G34" s="1067"/>
      <c r="H34" s="1067"/>
      <c r="I34" s="1067"/>
      <c r="J34" s="1067"/>
      <c r="K34" s="1067"/>
      <c r="L34" s="1067"/>
      <c r="M34" s="1067"/>
      <c r="N34" s="1067"/>
      <c r="O34" s="1067"/>
      <c r="P34" s="1067"/>
      <c r="Q34" s="1067"/>
      <c r="R34" s="1067"/>
      <c r="S34" s="1067"/>
      <c r="T34" s="1067"/>
    </row>
    <row r="38" spans="1:20" x14ac:dyDescent="0.25">
      <c r="G38" s="291"/>
    </row>
    <row r="43" spans="1:20" x14ac:dyDescent="0.25">
      <c r="L43" s="59"/>
    </row>
    <row r="44" spans="1:20" x14ac:dyDescent="0.25">
      <c r="L44" s="59"/>
    </row>
    <row r="45" spans="1:20" x14ac:dyDescent="0.25">
      <c r="L45" s="59"/>
    </row>
    <row r="46" spans="1:20" x14ac:dyDescent="0.25">
      <c r="L46" s="59"/>
    </row>
    <row r="47" spans="1:20" x14ac:dyDescent="0.25">
      <c r="L47" s="59"/>
    </row>
    <row r="48" spans="1:20" x14ac:dyDescent="0.25">
      <c r="L48" s="59"/>
    </row>
    <row r="49" spans="12:12" x14ac:dyDescent="0.25">
      <c r="L49" s="59"/>
    </row>
    <row r="50" spans="12:12" x14ac:dyDescent="0.25">
      <c r="L50" s="59"/>
    </row>
    <row r="51" spans="12:12" x14ac:dyDescent="0.25">
      <c r="L51" s="59"/>
    </row>
    <row r="52" spans="12:12" x14ac:dyDescent="0.25">
      <c r="L52" s="59"/>
    </row>
    <row r="53" spans="12:12" x14ac:dyDescent="0.25">
      <c r="L53" s="59"/>
    </row>
    <row r="54" spans="12:12" x14ac:dyDescent="0.25">
      <c r="L54" s="59"/>
    </row>
    <row r="55" spans="12:12" x14ac:dyDescent="0.25">
      <c r="L55" s="59"/>
    </row>
    <row r="56" spans="12:12" x14ac:dyDescent="0.25">
      <c r="L56" s="59"/>
    </row>
    <row r="57" spans="12:12" x14ac:dyDescent="0.25">
      <c r="L57" s="59"/>
    </row>
    <row r="58" spans="12:12" x14ac:dyDescent="0.25">
      <c r="L58" s="59"/>
    </row>
    <row r="59" spans="12:12" x14ac:dyDescent="0.25">
      <c r="L59" s="59"/>
    </row>
    <row r="60" spans="12:12" x14ac:dyDescent="0.25">
      <c r="L60" s="59"/>
    </row>
    <row r="61" spans="12:12" x14ac:dyDescent="0.25">
      <c r="L61" s="59"/>
    </row>
    <row r="62" spans="12:12" x14ac:dyDescent="0.25">
      <c r="L62" s="59"/>
    </row>
    <row r="63" spans="12:12" x14ac:dyDescent="0.25">
      <c r="L63" s="59"/>
    </row>
  </sheetData>
  <mergeCells count="28">
    <mergeCell ref="B34:T34"/>
    <mergeCell ref="B31:T31"/>
    <mergeCell ref="A29:T29"/>
    <mergeCell ref="B32:T32"/>
    <mergeCell ref="B33:T33"/>
    <mergeCell ref="U3:U7"/>
    <mergeCell ref="D3:G3"/>
    <mergeCell ref="H3:M3"/>
    <mergeCell ref="N3:S3"/>
    <mergeCell ref="R4:R6"/>
    <mergeCell ref="F4:F6"/>
    <mergeCell ref="L4:L6"/>
    <mergeCell ref="B3:B6"/>
    <mergeCell ref="A1:T1"/>
    <mergeCell ref="A3:A7"/>
    <mergeCell ref="H4:J5"/>
    <mergeCell ref="K4:K6"/>
    <mergeCell ref="N4:N6"/>
    <mergeCell ref="M4:M6"/>
    <mergeCell ref="O4:O6"/>
    <mergeCell ref="P4:P6"/>
    <mergeCell ref="Q4:Q6"/>
    <mergeCell ref="S4:S6"/>
    <mergeCell ref="C3:C6"/>
    <mergeCell ref="G4:G6"/>
    <mergeCell ref="T3:T6"/>
    <mergeCell ref="D4:D6"/>
    <mergeCell ref="E4:E6"/>
  </mergeCells>
  <pageMargins left="0.67" right="0.52" top="0.74803149606299213" bottom="0.74803149606299213" header="0.31496062992125984" footer="0.31496062992125984"/>
  <pageSetup paperSize="5" scale="55" orientation="landscape" r:id="rId1"/>
  <ignoredErrors>
    <ignoredError sqref="B7 D7 F7 H7" numberStoredAsText="1"/>
    <ignoredError sqref="S2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AI65"/>
  <sheetViews>
    <sheetView zoomScale="80" zoomScaleNormal="80" workbookViewId="0"/>
  </sheetViews>
  <sheetFormatPr baseColWidth="10" defaultRowHeight="15" x14ac:dyDescent="0.25"/>
  <cols>
    <col min="1" max="1" width="3.7109375" customWidth="1"/>
    <col min="2" max="2" width="3.5703125" style="84" customWidth="1"/>
    <col min="3" max="3" width="22.7109375" customWidth="1"/>
    <col min="4" max="4" width="14.140625" style="24" customWidth="1"/>
    <col min="5" max="5" width="13.85546875" customWidth="1"/>
    <col min="6" max="6" width="13.140625" customWidth="1"/>
    <col min="7" max="7" width="14" customWidth="1"/>
    <col min="8" max="8" width="15" style="5" customWidth="1"/>
    <col min="9" max="9" width="17.140625" bestFit="1" customWidth="1"/>
    <col min="10" max="10" width="13.5703125" customWidth="1"/>
    <col min="11" max="11" width="15.140625" style="5" customWidth="1"/>
    <col min="12" max="12" width="14.42578125" style="5" customWidth="1"/>
    <col min="13" max="13" width="12.140625" customWidth="1"/>
    <col min="14" max="14" width="13" bestFit="1" customWidth="1"/>
    <col min="15" max="15" width="14.28515625" style="5" customWidth="1"/>
    <col min="16" max="16" width="20" hidden="1" customWidth="1"/>
    <col min="17" max="17" width="14" customWidth="1"/>
    <col min="18" max="18" width="11.42578125" hidden="1" customWidth="1"/>
    <col min="19" max="19" width="16.28515625" hidden="1" customWidth="1"/>
    <col min="20" max="20" width="14.5703125" hidden="1" customWidth="1"/>
    <col min="21" max="21" width="14.28515625" hidden="1" customWidth="1"/>
    <col min="22" max="22" width="18" hidden="1" customWidth="1"/>
    <col min="23" max="35" width="11.42578125" hidden="1" customWidth="1"/>
    <col min="36" max="40" width="0" hidden="1" customWidth="1"/>
  </cols>
  <sheetData>
    <row r="1" spans="2:34" x14ac:dyDescent="0.25">
      <c r="B1" s="1071" t="s">
        <v>446</v>
      </c>
      <c r="C1" s="1071"/>
      <c r="D1" s="1071"/>
      <c r="E1" s="1071"/>
      <c r="F1" s="1071"/>
      <c r="G1" s="1071"/>
      <c r="H1" s="1071"/>
      <c r="I1" s="1071"/>
      <c r="J1" s="1071"/>
      <c r="K1" s="1071"/>
      <c r="L1" s="1071"/>
      <c r="M1" s="1071"/>
      <c r="N1" s="1071"/>
      <c r="O1" s="1071"/>
      <c r="P1" s="1071"/>
      <c r="Q1" s="1071"/>
    </row>
    <row r="2" spans="2:34" ht="15.75" thickBot="1" x14ac:dyDescent="0.3">
      <c r="C2" s="307"/>
      <c r="D2" s="307"/>
      <c r="E2" s="307"/>
      <c r="F2" s="307"/>
      <c r="G2" s="307"/>
      <c r="H2" s="307"/>
      <c r="I2" s="307"/>
      <c r="J2" s="307"/>
      <c r="K2" s="307"/>
      <c r="L2" s="307"/>
      <c r="M2" s="307"/>
      <c r="N2" s="307"/>
      <c r="O2" s="307"/>
      <c r="P2" s="307"/>
      <c r="Q2" s="961" t="s">
        <v>543</v>
      </c>
    </row>
    <row r="3" spans="2:34" ht="15" customHeight="1" x14ac:dyDescent="0.25">
      <c r="B3" s="1072" t="s">
        <v>81</v>
      </c>
      <c r="C3" s="1106" t="s">
        <v>216</v>
      </c>
      <c r="D3" s="1109">
        <v>2014</v>
      </c>
      <c r="E3" s="1110"/>
      <c r="F3" s="1109" t="s">
        <v>133</v>
      </c>
      <c r="G3" s="1111"/>
      <c r="H3" s="1110"/>
      <c r="I3" s="1109" t="s">
        <v>134</v>
      </c>
      <c r="J3" s="1111"/>
      <c r="K3" s="1111"/>
      <c r="L3" s="1110"/>
      <c r="M3" s="1109" t="s">
        <v>29</v>
      </c>
      <c r="N3" s="1111"/>
      <c r="O3" s="1122"/>
      <c r="P3" s="87"/>
      <c r="Q3" s="1075" t="s">
        <v>82</v>
      </c>
    </row>
    <row r="4" spans="2:34" ht="15" customHeight="1" x14ac:dyDescent="0.25">
      <c r="B4" s="1073"/>
      <c r="C4" s="1107"/>
      <c r="D4" s="1112" t="s">
        <v>268</v>
      </c>
      <c r="E4" s="1115" t="s">
        <v>269</v>
      </c>
      <c r="F4" s="1081" t="s">
        <v>380</v>
      </c>
      <c r="G4" s="1123" t="s">
        <v>138</v>
      </c>
      <c r="H4" s="1095" t="s">
        <v>406</v>
      </c>
      <c r="I4" s="1084" t="s">
        <v>444</v>
      </c>
      <c r="J4" s="1085"/>
      <c r="K4" s="1092" t="s">
        <v>401</v>
      </c>
      <c r="L4" s="1078" t="s">
        <v>379</v>
      </c>
      <c r="M4" s="1088" t="s">
        <v>445</v>
      </c>
      <c r="N4" s="1089"/>
      <c r="O4" s="1098" t="s">
        <v>407</v>
      </c>
      <c r="P4" s="88" t="s">
        <v>86</v>
      </c>
      <c r="Q4" s="1076"/>
    </row>
    <row r="5" spans="2:34" x14ac:dyDescent="0.25">
      <c r="B5" s="1073"/>
      <c r="C5" s="1107"/>
      <c r="D5" s="1113"/>
      <c r="E5" s="1116"/>
      <c r="F5" s="1082"/>
      <c r="G5" s="1124"/>
      <c r="H5" s="1096"/>
      <c r="I5" s="1086"/>
      <c r="J5" s="1087"/>
      <c r="K5" s="1093"/>
      <c r="L5" s="1079"/>
      <c r="M5" s="1090"/>
      <c r="N5" s="1091"/>
      <c r="O5" s="1099"/>
      <c r="P5" s="89" t="s">
        <v>89</v>
      </c>
      <c r="Q5" s="1076"/>
    </row>
    <row r="6" spans="2:34" x14ac:dyDescent="0.25">
      <c r="B6" s="1073"/>
      <c r="C6" s="1107"/>
      <c r="D6" s="1114"/>
      <c r="E6" s="1117"/>
      <c r="F6" s="1083"/>
      <c r="G6" s="936" t="s">
        <v>88</v>
      </c>
      <c r="H6" s="1097"/>
      <c r="I6" s="403" t="s">
        <v>90</v>
      </c>
      <c r="J6" s="404" t="s">
        <v>85</v>
      </c>
      <c r="K6" s="1094"/>
      <c r="L6" s="1080"/>
      <c r="M6" s="405" t="s">
        <v>90</v>
      </c>
      <c r="N6" s="241" t="s">
        <v>85</v>
      </c>
      <c r="O6" s="1100"/>
      <c r="P6" s="90" t="s">
        <v>91</v>
      </c>
      <c r="Q6" s="1077"/>
    </row>
    <row r="7" spans="2:34" ht="15.75" thickBot="1" x14ac:dyDescent="0.3">
      <c r="B7" s="1074"/>
      <c r="C7" s="1108"/>
      <c r="D7" s="91" t="s">
        <v>70</v>
      </c>
      <c r="E7" s="402" t="s">
        <v>92</v>
      </c>
      <c r="F7" s="92" t="s">
        <v>71</v>
      </c>
      <c r="G7" s="93" t="s">
        <v>93</v>
      </c>
      <c r="H7" s="398" t="s">
        <v>94</v>
      </c>
      <c r="I7" s="401" t="s">
        <v>95</v>
      </c>
      <c r="J7" s="937" t="s">
        <v>74</v>
      </c>
      <c r="K7" s="939" t="s">
        <v>96</v>
      </c>
      <c r="L7" s="938" t="s">
        <v>76</v>
      </c>
      <c r="M7" s="401" t="s">
        <v>97</v>
      </c>
      <c r="N7" s="14" t="s">
        <v>78</v>
      </c>
      <c r="O7" s="398" t="s">
        <v>98</v>
      </c>
      <c r="P7" s="94" t="s">
        <v>99</v>
      </c>
      <c r="Q7" s="95" t="s">
        <v>100</v>
      </c>
      <c r="S7" t="s">
        <v>101</v>
      </c>
      <c r="T7" t="s">
        <v>102</v>
      </c>
      <c r="U7" t="s">
        <v>103</v>
      </c>
      <c r="V7" t="s">
        <v>101</v>
      </c>
      <c r="W7" t="s">
        <v>102</v>
      </c>
      <c r="X7" t="s">
        <v>103</v>
      </c>
      <c r="Y7" s="85" t="s">
        <v>104</v>
      </c>
      <c r="Z7" s="85" t="s">
        <v>105</v>
      </c>
      <c r="AA7" s="85" t="s">
        <v>106</v>
      </c>
      <c r="AB7" s="85" t="s">
        <v>105</v>
      </c>
    </row>
    <row r="8" spans="2:34" ht="25.5" customHeight="1" x14ac:dyDescent="0.25">
      <c r="B8" s="410" t="s">
        <v>107</v>
      </c>
      <c r="C8" s="902" t="s">
        <v>45</v>
      </c>
      <c r="D8" s="903">
        <v>3.62</v>
      </c>
      <c r="E8" s="904">
        <v>15655542.292800002</v>
      </c>
      <c r="F8" s="905">
        <f>'CUADRO 1 - CENSO 2020'!C9</f>
        <v>37232</v>
      </c>
      <c r="G8" s="906">
        <f t="shared" ref="G8:G28" si="0">F8/F$28*100</f>
        <v>3.0136241193535018</v>
      </c>
      <c r="H8" s="907">
        <f>((Datos!K$24*0.7)*0.5)*G8%</f>
        <v>2578407.1395274294</v>
      </c>
      <c r="I8" s="905">
        <f>'CUADRO 2 -Predial y Agua'!G6</f>
        <v>11882395.140000001</v>
      </c>
      <c r="J8" s="906">
        <f>I8/I$28*100</f>
        <v>1.1431476809996668</v>
      </c>
      <c r="K8" s="908">
        <f>((Datos!K$24*0.7)*(0.5))*'CUADRO 7 FFM'!J8%</f>
        <v>978058.31964740122</v>
      </c>
      <c r="L8" s="909">
        <f>H8+K8</f>
        <v>3556465.4591748305</v>
      </c>
      <c r="M8" s="905">
        <v>0</v>
      </c>
      <c r="N8" s="906">
        <v>0</v>
      </c>
      <c r="O8" s="910">
        <v>0</v>
      </c>
      <c r="P8" s="911">
        <f>H8+K8+O8</f>
        <v>3556465.4591748305</v>
      </c>
      <c r="Q8" s="912">
        <f>E8+L8+O8</f>
        <v>19212007.751974832</v>
      </c>
      <c r="R8" s="98">
        <f t="shared" ref="R8:R27" si="1">G8+J8</f>
        <v>4.1567718003531686</v>
      </c>
      <c r="S8" s="98">
        <f>R8/2</f>
        <v>2.0783859001765843</v>
      </c>
      <c r="T8" s="98">
        <f>2.480738</f>
        <v>2.4807380000000001</v>
      </c>
      <c r="U8" s="99">
        <f>S8-T8</f>
        <v>-0.4023520998234158</v>
      </c>
      <c r="V8" s="98">
        <f>N8</f>
        <v>0</v>
      </c>
      <c r="X8" s="98">
        <f>V8-W8</f>
        <v>0</v>
      </c>
      <c r="Y8" s="85">
        <v>3.3898570000000001</v>
      </c>
      <c r="Z8" s="100">
        <f>S8-Y8</f>
        <v>-1.3114710998234158</v>
      </c>
      <c r="AA8" s="85"/>
      <c r="AB8" s="85"/>
      <c r="AG8" s="98">
        <f>G8+J8</f>
        <v>4.1567718003531686</v>
      </c>
      <c r="AH8" s="98">
        <f>AG8/2</f>
        <v>2.0783859001765843</v>
      </c>
    </row>
    <row r="9" spans="2:34" ht="25.5" customHeight="1" x14ac:dyDescent="0.25">
      <c r="B9" s="406" t="s">
        <v>107</v>
      </c>
      <c r="C9" s="902" t="s">
        <v>46</v>
      </c>
      <c r="D9" s="903">
        <v>2.4700000000000002</v>
      </c>
      <c r="E9" s="913">
        <v>10682096.536800001</v>
      </c>
      <c r="F9" s="914">
        <f>'CUADRO 1 - CENSO 2020'!C10</f>
        <v>15393</v>
      </c>
      <c r="G9" s="915">
        <f t="shared" si="0"/>
        <v>1.2459367229589724</v>
      </c>
      <c r="H9" s="916">
        <f>((Datos!K$24*0.7)*0.5)*G9%</f>
        <v>1066002.9302413443</v>
      </c>
      <c r="I9" s="914">
        <f>'CUADRO 2 -Predial y Agua'!G7</f>
        <v>7867222.9400000004</v>
      </c>
      <c r="J9" s="915">
        <f t="shared" ref="J9:J27" si="2">I9/I$28*100</f>
        <v>0.75686741215108089</v>
      </c>
      <c r="K9" s="917">
        <f>((Datos!K$24*0.7)*(0.5))*'CUADRO 7 FFM'!J9%</f>
        <v>647563.28655368113</v>
      </c>
      <c r="L9" s="918">
        <f t="shared" ref="L9:L27" si="3">H9+K9</f>
        <v>1713566.2167950254</v>
      </c>
      <c r="M9" s="914">
        <v>0</v>
      </c>
      <c r="N9" s="915">
        <v>0</v>
      </c>
      <c r="O9" s="919">
        <v>0</v>
      </c>
      <c r="P9" s="911">
        <f t="shared" ref="P9:P27" si="4">H9+K9+O9</f>
        <v>1713566.2167950254</v>
      </c>
      <c r="Q9" s="912">
        <f t="shared" ref="Q9:Q27" si="5">E9+L9+O9</f>
        <v>12395662.753595026</v>
      </c>
      <c r="R9" s="98">
        <f t="shared" si="1"/>
        <v>2.0028041351100532</v>
      </c>
      <c r="S9" s="98">
        <f t="shared" ref="S9:S28" si="6">R9/2</f>
        <v>1.0014020675550266</v>
      </c>
      <c r="T9" s="98">
        <v>1.0658129999999999</v>
      </c>
      <c r="U9" s="99">
        <f t="shared" ref="U9:U27" si="7">S9-T9</f>
        <v>-6.4410932444973312E-2</v>
      </c>
      <c r="V9" s="98">
        <f t="shared" ref="V9:V27" si="8">N9</f>
        <v>0</v>
      </c>
      <c r="X9" s="98">
        <f t="shared" ref="X9:X27" si="9">V9-W9</f>
        <v>0</v>
      </c>
      <c r="Y9" s="85">
        <v>1.4561059999999999</v>
      </c>
      <c r="Z9" s="100">
        <f t="shared" ref="Z9:Z27" si="10">S9-Y9</f>
        <v>-0.45470393244497331</v>
      </c>
      <c r="AA9" s="85"/>
      <c r="AB9" s="85"/>
      <c r="AG9" s="98">
        <f t="shared" ref="AG9:AG28" si="11">G9+J9</f>
        <v>2.0028041351100532</v>
      </c>
      <c r="AH9" s="98">
        <f t="shared" ref="AH9:AH28" si="12">AG9/2</f>
        <v>1.0014020675550266</v>
      </c>
    </row>
    <row r="10" spans="2:34" ht="25.5" customHeight="1" x14ac:dyDescent="0.25">
      <c r="B10" s="406" t="s">
        <v>107</v>
      </c>
      <c r="C10" s="902" t="s">
        <v>47</v>
      </c>
      <c r="D10" s="903">
        <v>2.33</v>
      </c>
      <c r="E10" s="913">
        <v>10076633.575200001</v>
      </c>
      <c r="F10" s="914">
        <f>'CUADRO 1 - CENSO 2020'!C11</f>
        <v>11536</v>
      </c>
      <c r="G10" s="915">
        <f t="shared" si="0"/>
        <v>0.93374430169912959</v>
      </c>
      <c r="H10" s="916">
        <f>((Datos!K$24*0.7)*0.5)*G10%</f>
        <v>798896.23876204411</v>
      </c>
      <c r="I10" s="914">
        <f>'CUADRO 2 -Predial y Agua'!G8</f>
        <v>3578304.75</v>
      </c>
      <c r="J10" s="915">
        <f t="shared" si="2"/>
        <v>0.34425136756330693</v>
      </c>
      <c r="K10" s="917">
        <f>((Datos!K$24*0.7)*(0.5))*'CUADRO 7 FFM'!J10%</f>
        <v>294535.7976852564</v>
      </c>
      <c r="L10" s="918">
        <f t="shared" si="3"/>
        <v>1093432.0364473006</v>
      </c>
      <c r="M10" s="914">
        <v>0</v>
      </c>
      <c r="N10" s="915">
        <v>0</v>
      </c>
      <c r="O10" s="919">
        <v>0</v>
      </c>
      <c r="P10" s="911">
        <f t="shared" si="4"/>
        <v>1093432.0364473006</v>
      </c>
      <c r="Q10" s="912">
        <f t="shared" si="5"/>
        <v>11170065.6116473</v>
      </c>
      <c r="R10" s="98">
        <f t="shared" si="1"/>
        <v>1.2779956692624366</v>
      </c>
      <c r="S10" s="98">
        <f t="shared" si="6"/>
        <v>0.63899783463121829</v>
      </c>
      <c r="T10" s="98">
        <v>0.85747200000000001</v>
      </c>
      <c r="U10" s="99">
        <f t="shared" si="7"/>
        <v>-0.21847416536878173</v>
      </c>
      <c r="V10" s="98">
        <f t="shared" si="8"/>
        <v>0</v>
      </c>
      <c r="X10" s="98">
        <f t="shared" si="9"/>
        <v>0</v>
      </c>
      <c r="Y10" s="85">
        <v>1.167629</v>
      </c>
      <c r="Z10" s="100">
        <f t="shared" si="10"/>
        <v>-0.52863116536878174</v>
      </c>
      <c r="AA10" s="85"/>
      <c r="AB10" s="85"/>
      <c r="AG10" s="98">
        <f t="shared" si="11"/>
        <v>1.2779956692624366</v>
      </c>
      <c r="AH10" s="98">
        <f t="shared" si="12"/>
        <v>0.63899783463121829</v>
      </c>
    </row>
    <row r="11" spans="2:34" ht="25.5" customHeight="1" x14ac:dyDescent="0.25">
      <c r="B11" s="406" t="s">
        <v>107</v>
      </c>
      <c r="C11" s="902" t="s">
        <v>48</v>
      </c>
      <c r="D11" s="903">
        <v>2.81</v>
      </c>
      <c r="E11" s="913">
        <v>12152506.5864</v>
      </c>
      <c r="F11" s="914">
        <f>'CUADRO 1 - CENSO 2020'!C12</f>
        <v>187632</v>
      </c>
      <c r="G11" s="915">
        <f t="shared" si="0"/>
        <v>15.187266887691669</v>
      </c>
      <c r="H11" s="916">
        <f>((Datos!K$24*0.7)*0.5)*G11%</f>
        <v>12993975.300918851</v>
      </c>
      <c r="I11" s="914">
        <f>'CUADRO 2 -Predial y Agua'!G9</f>
        <v>449922673.11000001</v>
      </c>
      <c r="J11" s="915">
        <f t="shared" si="2"/>
        <v>43.284881064380052</v>
      </c>
      <c r="K11" s="917">
        <f>((Datos!K$24*0.7)*(0.5))*'CUADRO 7 FFM'!J11%</f>
        <v>37033831.012055837</v>
      </c>
      <c r="L11" s="918">
        <f t="shared" si="3"/>
        <v>50027806.312974691</v>
      </c>
      <c r="M11" s="914">
        <v>0</v>
      </c>
      <c r="N11" s="915">
        <v>0</v>
      </c>
      <c r="O11" s="919">
        <v>0</v>
      </c>
      <c r="P11" s="911">
        <f t="shared" si="4"/>
        <v>50027806.312974691</v>
      </c>
      <c r="Q11" s="912">
        <f t="shared" si="5"/>
        <v>62180312.899374694</v>
      </c>
      <c r="R11" s="98">
        <f t="shared" si="1"/>
        <v>58.472147952071722</v>
      </c>
      <c r="S11" s="98">
        <f t="shared" si="6"/>
        <v>29.236073976035861</v>
      </c>
      <c r="T11" s="98">
        <v>26.514603000000001</v>
      </c>
      <c r="U11" s="99">
        <f t="shared" si="7"/>
        <v>2.7214709760358602</v>
      </c>
      <c r="V11" s="98">
        <f t="shared" si="8"/>
        <v>0</v>
      </c>
      <c r="X11" s="98">
        <f t="shared" si="9"/>
        <v>0</v>
      </c>
      <c r="Y11" s="85">
        <v>39.874909000000002</v>
      </c>
      <c r="Z11" s="100">
        <f t="shared" si="10"/>
        <v>-10.638835023964141</v>
      </c>
      <c r="AA11" s="85"/>
      <c r="AB11" s="85"/>
      <c r="AG11" s="98">
        <f t="shared" si="11"/>
        <v>58.472147952071722</v>
      </c>
      <c r="AH11" s="98">
        <f t="shared" si="12"/>
        <v>29.236073976035861</v>
      </c>
    </row>
    <row r="12" spans="2:34" ht="25.5" customHeight="1" x14ac:dyDescent="0.25">
      <c r="B12" s="406" t="s">
        <v>107</v>
      </c>
      <c r="C12" s="902" t="s">
        <v>49</v>
      </c>
      <c r="D12" s="903">
        <v>4.6399999999999997</v>
      </c>
      <c r="E12" s="913">
        <v>20066772.441599999</v>
      </c>
      <c r="F12" s="914">
        <f>'CUADRO 1 - CENSO 2020'!C13</f>
        <v>77436</v>
      </c>
      <c r="G12" s="915">
        <f t="shared" si="0"/>
        <v>6.2678071902196431</v>
      </c>
      <c r="H12" s="916">
        <f>((Datos!K$24*0.7)*0.5)*G12%</f>
        <v>5362632.5541589493</v>
      </c>
      <c r="I12" s="914">
        <f>'CUADRO 2 -Predial y Agua'!G10</f>
        <v>81768324.289999992</v>
      </c>
      <c r="J12" s="915">
        <f t="shared" si="2"/>
        <v>7.8665344141502942</v>
      </c>
      <c r="K12" s="917">
        <f>((Datos!K$24*0.7)*(0.5))*'CUADRO 7 FFM'!J12%</f>
        <v>6730477.2239261828</v>
      </c>
      <c r="L12" s="918">
        <f t="shared" si="3"/>
        <v>12093109.778085131</v>
      </c>
      <c r="M12" s="914">
        <v>0</v>
      </c>
      <c r="N12" s="915">
        <v>0</v>
      </c>
      <c r="O12" s="919">
        <v>0</v>
      </c>
      <c r="P12" s="911">
        <f t="shared" si="4"/>
        <v>12093109.778085131</v>
      </c>
      <c r="Q12" s="912">
        <f t="shared" si="5"/>
        <v>32159882.21968513</v>
      </c>
      <c r="R12" s="98">
        <f t="shared" si="1"/>
        <v>14.134341604369936</v>
      </c>
      <c r="S12" s="98">
        <f t="shared" si="6"/>
        <v>7.0671708021849682</v>
      </c>
      <c r="T12" s="98">
        <v>5.371861</v>
      </c>
      <c r="U12" s="99">
        <f t="shared" si="7"/>
        <v>1.6953098021849682</v>
      </c>
      <c r="V12" s="98">
        <f t="shared" si="8"/>
        <v>0</v>
      </c>
      <c r="X12" s="98">
        <f t="shared" si="9"/>
        <v>0</v>
      </c>
      <c r="Y12" s="85">
        <v>7.3199050000000003</v>
      </c>
      <c r="Z12" s="100">
        <f t="shared" si="10"/>
        <v>-0.25273419781503215</v>
      </c>
      <c r="AA12" s="85"/>
      <c r="AB12" s="85"/>
      <c r="AG12" s="98">
        <f t="shared" si="11"/>
        <v>14.134341604369936</v>
      </c>
      <c r="AH12" s="98">
        <f t="shared" si="12"/>
        <v>7.0671708021849682</v>
      </c>
    </row>
    <row r="13" spans="2:34" s="5" customFormat="1" ht="25.5" customHeight="1" x14ac:dyDescent="0.25">
      <c r="B13" s="407" t="s">
        <v>108</v>
      </c>
      <c r="C13" s="920" t="s">
        <v>50</v>
      </c>
      <c r="D13" s="921">
        <v>1.5</v>
      </c>
      <c r="E13" s="922">
        <v>6487103.1600000001</v>
      </c>
      <c r="F13" s="914">
        <f>'CUADRO 1 - CENSO 2020'!C14</f>
        <v>47550</v>
      </c>
      <c r="G13" s="923">
        <f t="shared" si="0"/>
        <v>3.8487813406547868</v>
      </c>
      <c r="H13" s="916">
        <f>((Datos!K$24*0.7)*0.5)*G13%</f>
        <v>3292953.896769695</v>
      </c>
      <c r="I13" s="914">
        <f>'CUADRO 2 -Predial y Agua'!G11</f>
        <v>149782.22</v>
      </c>
      <c r="J13" s="923">
        <f t="shared" si="2"/>
        <v>1.4409821877711256E-2</v>
      </c>
      <c r="K13" s="917">
        <f>((Datos!K$24*0.7)*(0.5))*'CUADRO 7 FFM'!J13%</f>
        <v>12328.80616072976</v>
      </c>
      <c r="L13" s="922">
        <f t="shared" si="3"/>
        <v>3305282.7029304248</v>
      </c>
      <c r="M13" s="924">
        <f>'FGP 30%'!I41</f>
        <v>97074.07</v>
      </c>
      <c r="N13" s="923">
        <f>M13/M$28*100</f>
        <v>0.62189878463316728</v>
      </c>
      <c r="O13" s="922">
        <f>(Datos!K24-'CUADRO 7 FFM'!H28-'CUADRO 7 FFM'!K$28)*'CUADRO 7 FFM'!N13%</f>
        <v>456074.01668135496</v>
      </c>
      <c r="P13" s="925">
        <f t="shared" si="4"/>
        <v>3761356.7196117798</v>
      </c>
      <c r="Q13" s="926">
        <f t="shared" si="5"/>
        <v>10248459.879611779</v>
      </c>
      <c r="R13" s="74">
        <f t="shared" si="1"/>
        <v>3.8631911625324982</v>
      </c>
      <c r="S13" s="74">
        <f t="shared" si="6"/>
        <v>1.9315955812662491</v>
      </c>
      <c r="T13" s="74">
        <v>1.826878</v>
      </c>
      <c r="U13" s="101">
        <f t="shared" si="7"/>
        <v>0.10471758126624908</v>
      </c>
      <c r="V13" s="74">
        <f t="shared" si="8"/>
        <v>0.62189878463316728</v>
      </c>
      <c r="W13" s="5">
        <v>0.35585699999999998</v>
      </c>
      <c r="X13" s="74">
        <f t="shared" si="9"/>
        <v>0.2660417846331673</v>
      </c>
      <c r="Y13" s="102">
        <v>2.5551330000000001</v>
      </c>
      <c r="Z13" s="103">
        <f t="shared" si="10"/>
        <v>-0.62353741873375101</v>
      </c>
      <c r="AA13" s="102">
        <v>16.147120999999999</v>
      </c>
      <c r="AB13" s="102">
        <f>W13-AA13</f>
        <v>-15.791263999999998</v>
      </c>
      <c r="AG13" s="98">
        <f t="shared" si="11"/>
        <v>3.8631911625324982</v>
      </c>
      <c r="AH13" s="98">
        <f t="shared" si="12"/>
        <v>1.9315955812662491</v>
      </c>
    </row>
    <row r="14" spans="2:34" s="5" customFormat="1" ht="25.5" customHeight="1" x14ac:dyDescent="0.25">
      <c r="B14" s="407" t="s">
        <v>108</v>
      </c>
      <c r="C14" s="920" t="s">
        <v>51</v>
      </c>
      <c r="D14" s="921">
        <v>1.53</v>
      </c>
      <c r="E14" s="922">
        <v>6616845.2232000008</v>
      </c>
      <c r="F14" s="914">
        <f>'CUADRO 1 - CENSO 2020'!C15</f>
        <v>12230</v>
      </c>
      <c r="G14" s="923">
        <f t="shared" si="0"/>
        <v>0.98991789266473262</v>
      </c>
      <c r="H14" s="916">
        <f>((Datos!K$24*0.7)*0.5)*G14%</f>
        <v>846957.43759186892</v>
      </c>
      <c r="I14" s="914">
        <f>'CUADRO 2 -Predial y Agua'!G12</f>
        <v>160663.66</v>
      </c>
      <c r="J14" s="923">
        <f t="shared" si="2"/>
        <v>1.5456672513073732E-2</v>
      </c>
      <c r="K14" s="917">
        <f>((Datos!K$24*0.7)*(0.5))*'CUADRO 7 FFM'!J14%</f>
        <v>13224.474314864552</v>
      </c>
      <c r="L14" s="922">
        <f t="shared" si="3"/>
        <v>860181.91190673353</v>
      </c>
      <c r="M14" s="924">
        <f>'FGP 30%'!I42</f>
        <v>13940.66</v>
      </c>
      <c r="N14" s="923">
        <f>M14/M$28*100</f>
        <v>8.9309941480605573E-2</v>
      </c>
      <c r="O14" s="922">
        <f>(Datos!K24-'CUADRO 7 FFM'!H28-'CUADRO 7 FFM'!K$28)*'CUADRO 7 FFM'!N14%</f>
        <v>65496.097993924617</v>
      </c>
      <c r="P14" s="925">
        <f t="shared" si="4"/>
        <v>925678.00990065816</v>
      </c>
      <c r="Q14" s="926">
        <f t="shared" si="5"/>
        <v>7542523.2331006583</v>
      </c>
      <c r="R14" s="74">
        <f t="shared" si="1"/>
        <v>1.0053745651778063</v>
      </c>
      <c r="S14" s="74">
        <f t="shared" si="6"/>
        <v>0.50268728258890316</v>
      </c>
      <c r="T14" s="74">
        <v>0.53989200000000004</v>
      </c>
      <c r="U14" s="101">
        <f t="shared" si="7"/>
        <v>-3.7204717411096877E-2</v>
      </c>
      <c r="V14" s="74">
        <f t="shared" si="8"/>
        <v>8.9309941480605573E-2</v>
      </c>
      <c r="W14" s="5">
        <v>0.19699800000000001</v>
      </c>
      <c r="X14" s="74">
        <f t="shared" si="9"/>
        <v>-0.10768805851939443</v>
      </c>
      <c r="Y14" s="102">
        <v>0.75530600000000003</v>
      </c>
      <c r="Z14" s="103">
        <f t="shared" si="10"/>
        <v>-0.25261871741109687</v>
      </c>
      <c r="AA14" s="102">
        <v>4.7731430000000001</v>
      </c>
      <c r="AB14" s="102">
        <f t="shared" ref="AB14:AB26" si="13">W14-AA14</f>
        <v>-4.5761450000000004</v>
      </c>
      <c r="AG14" s="98">
        <f t="shared" si="11"/>
        <v>1.0053745651778063</v>
      </c>
      <c r="AH14" s="98">
        <f t="shared" si="12"/>
        <v>0.50268728258890316</v>
      </c>
    </row>
    <row r="15" spans="2:34" s="5" customFormat="1" ht="25.5" customHeight="1" x14ac:dyDescent="0.25">
      <c r="B15" s="408" t="s">
        <v>107</v>
      </c>
      <c r="C15" s="902" t="s">
        <v>52</v>
      </c>
      <c r="D15" s="927">
        <v>3.16</v>
      </c>
      <c r="E15" s="918">
        <v>13666163.990400001</v>
      </c>
      <c r="F15" s="914">
        <f>'CUADRO 1 - CENSO 2020'!C16</f>
        <v>29299</v>
      </c>
      <c r="G15" s="915">
        <f t="shared" si="0"/>
        <v>2.3715130283878989</v>
      </c>
      <c r="H15" s="916">
        <f>((Datos!K$24*0.7)*0.5)*G15%</f>
        <v>2029027.4704827613</v>
      </c>
      <c r="I15" s="914">
        <f>'CUADRO 2 -Predial y Agua'!G13</f>
        <v>15707836.32</v>
      </c>
      <c r="J15" s="915">
        <f t="shared" si="2"/>
        <v>1.5111748474247708</v>
      </c>
      <c r="K15" s="917">
        <f>((Datos!K$24*0.7)*(0.5))*'CUADRO 7 FFM'!J15%</f>
        <v>1292936.2990730854</v>
      </c>
      <c r="L15" s="918">
        <f t="shared" si="3"/>
        <v>3321963.7695558467</v>
      </c>
      <c r="M15" s="914">
        <v>0</v>
      </c>
      <c r="N15" s="915">
        <v>0</v>
      </c>
      <c r="O15" s="922">
        <v>0</v>
      </c>
      <c r="P15" s="928">
        <f t="shared" si="4"/>
        <v>3321963.7695558467</v>
      </c>
      <c r="Q15" s="912">
        <f t="shared" si="5"/>
        <v>16988127.759955849</v>
      </c>
      <c r="R15" s="74">
        <f t="shared" si="1"/>
        <v>3.8826878758126697</v>
      </c>
      <c r="S15" s="74">
        <f t="shared" si="6"/>
        <v>1.9413439379063349</v>
      </c>
      <c r="T15" s="74">
        <v>2.598125</v>
      </c>
      <c r="U15" s="101">
        <f t="shared" si="7"/>
        <v>-0.65678106209366516</v>
      </c>
      <c r="V15" s="74">
        <f t="shared" si="8"/>
        <v>0</v>
      </c>
      <c r="X15" s="74">
        <f t="shared" si="9"/>
        <v>0</v>
      </c>
      <c r="Y15" s="102">
        <v>3.512527</v>
      </c>
      <c r="Z15" s="103">
        <f t="shared" si="10"/>
        <v>-1.5711830620936651</v>
      </c>
      <c r="AA15" s="102"/>
      <c r="AB15" s="102">
        <f t="shared" si="13"/>
        <v>0</v>
      </c>
      <c r="AG15" s="98">
        <f t="shared" si="11"/>
        <v>3.8826878758126697</v>
      </c>
      <c r="AH15" s="98">
        <f t="shared" si="12"/>
        <v>1.9413439379063349</v>
      </c>
    </row>
    <row r="16" spans="2:34" s="5" customFormat="1" ht="25.5" customHeight="1" x14ac:dyDescent="0.25">
      <c r="B16" s="408" t="s">
        <v>107</v>
      </c>
      <c r="C16" s="902" t="s">
        <v>53</v>
      </c>
      <c r="D16" s="927">
        <v>2.81</v>
      </c>
      <c r="E16" s="918">
        <v>12152506.5864</v>
      </c>
      <c r="F16" s="914">
        <f>'CUADRO 1 - CENSO 2020'!C17</f>
        <v>19321</v>
      </c>
      <c r="G16" s="915">
        <f t="shared" si="0"/>
        <v>1.563876010153336</v>
      </c>
      <c r="H16" s="916">
        <f>((Datos!K$24*0.7)*0.5)*G16%</f>
        <v>1338026.5455202369</v>
      </c>
      <c r="I16" s="914">
        <f>'CUADRO 2 -Predial y Agua'!G14</f>
        <v>5242636.2899999991</v>
      </c>
      <c r="J16" s="915">
        <f t="shared" si="2"/>
        <v>0.50436864341124699</v>
      </c>
      <c r="K16" s="917">
        <f>((Datos!K$24*0.7)*(0.5))*'CUADRO 7 FFM'!J16%</f>
        <v>431529.50056834117</v>
      </c>
      <c r="L16" s="918">
        <f t="shared" si="3"/>
        <v>1769556.0460885782</v>
      </c>
      <c r="M16" s="914">
        <v>0</v>
      </c>
      <c r="N16" s="915">
        <v>0</v>
      </c>
      <c r="O16" s="922">
        <v>0</v>
      </c>
      <c r="P16" s="928">
        <f t="shared" si="4"/>
        <v>1769556.0460885782</v>
      </c>
      <c r="Q16" s="912">
        <f t="shared" si="5"/>
        <v>13922062.632488579</v>
      </c>
      <c r="R16" s="74">
        <f t="shared" si="1"/>
        <v>2.0682446535645829</v>
      </c>
      <c r="S16" s="74">
        <f t="shared" si="6"/>
        <v>1.0341223267822914</v>
      </c>
      <c r="T16" s="74">
        <v>1.1819949999999999</v>
      </c>
      <c r="U16" s="101">
        <f t="shared" si="7"/>
        <v>-0.14787267321770847</v>
      </c>
      <c r="V16" s="74">
        <f t="shared" si="8"/>
        <v>0</v>
      </c>
      <c r="X16" s="74">
        <f t="shared" si="9"/>
        <v>0</v>
      </c>
      <c r="Y16" s="102">
        <v>1.6183019999999999</v>
      </c>
      <c r="Z16" s="103">
        <f t="shared" si="10"/>
        <v>-0.58417967321770847</v>
      </c>
      <c r="AA16" s="102"/>
      <c r="AB16" s="102">
        <f t="shared" si="13"/>
        <v>0</v>
      </c>
      <c r="AG16" s="98">
        <f t="shared" si="11"/>
        <v>2.0682446535645829</v>
      </c>
      <c r="AH16" s="98">
        <f t="shared" si="12"/>
        <v>1.0341223267822914</v>
      </c>
    </row>
    <row r="17" spans="2:34" s="5" customFormat="1" ht="25.5" customHeight="1" x14ac:dyDescent="0.25">
      <c r="B17" s="408" t="s">
        <v>107</v>
      </c>
      <c r="C17" s="902" t="s">
        <v>54</v>
      </c>
      <c r="D17" s="927">
        <v>1.6</v>
      </c>
      <c r="E17" s="918">
        <v>6919576.7039999999</v>
      </c>
      <c r="F17" s="914">
        <f>'CUADRO 1 - CENSO 2020'!C18</f>
        <v>13719</v>
      </c>
      <c r="G17" s="915">
        <f t="shared" si="0"/>
        <v>1.1104401937422297</v>
      </c>
      <c r="H17" s="916">
        <f>((Datos!K$24*0.7)*0.5)*G17%</f>
        <v>950074.33248755941</v>
      </c>
      <c r="I17" s="914">
        <f>'CUADRO 2 -Predial y Agua'!G15</f>
        <v>1417630.02</v>
      </c>
      <c r="J17" s="915">
        <f t="shared" si="2"/>
        <v>0.1363833175706452</v>
      </c>
      <c r="K17" s="917">
        <f>((Datos!K$24*0.7)*(0.5))*'CUADRO 7 FFM'!J17%</f>
        <v>116687.31925732877</v>
      </c>
      <c r="L17" s="918">
        <f t="shared" si="3"/>
        <v>1066761.6517448882</v>
      </c>
      <c r="M17" s="914">
        <v>0</v>
      </c>
      <c r="N17" s="915">
        <v>0</v>
      </c>
      <c r="O17" s="922">
        <v>0</v>
      </c>
      <c r="P17" s="928">
        <f t="shared" si="4"/>
        <v>1066761.6517448882</v>
      </c>
      <c r="Q17" s="912">
        <f t="shared" si="5"/>
        <v>7986338.3557448881</v>
      </c>
      <c r="R17" s="74">
        <f t="shared" si="1"/>
        <v>1.2468235113128749</v>
      </c>
      <c r="S17" s="74">
        <f t="shared" si="6"/>
        <v>0.62341175565643747</v>
      </c>
      <c r="T17" s="74">
        <v>0.66424499999999997</v>
      </c>
      <c r="U17" s="101">
        <v>9.9999999999999995E-7</v>
      </c>
      <c r="V17" s="74">
        <f t="shared" si="8"/>
        <v>0</v>
      </c>
      <c r="X17" s="74">
        <f t="shared" si="9"/>
        <v>0</v>
      </c>
      <c r="Y17" s="102">
        <v>0.92457</v>
      </c>
      <c r="Z17" s="103">
        <f t="shared" si="10"/>
        <v>-0.30115824434356253</v>
      </c>
      <c r="AA17" s="102"/>
      <c r="AB17" s="102">
        <f t="shared" si="13"/>
        <v>0</v>
      </c>
      <c r="AG17" s="98">
        <f t="shared" si="11"/>
        <v>1.2468235113128749</v>
      </c>
      <c r="AH17" s="98">
        <f t="shared" si="12"/>
        <v>0.62341175565643747</v>
      </c>
    </row>
    <row r="18" spans="2:34" s="5" customFormat="1" ht="25.5" customHeight="1" x14ac:dyDescent="0.25">
      <c r="B18" s="407" t="s">
        <v>108</v>
      </c>
      <c r="C18" s="920" t="s">
        <v>55</v>
      </c>
      <c r="D18" s="921">
        <v>2.84</v>
      </c>
      <c r="E18" s="922">
        <v>12282248.649599999</v>
      </c>
      <c r="F18" s="914">
        <f>'CUADRO 1 - CENSO 2020'!C19</f>
        <v>33567</v>
      </c>
      <c r="G18" s="923">
        <f t="shared" si="0"/>
        <v>2.7169725186489848</v>
      </c>
      <c r="H18" s="916">
        <f>((Datos!K$24*0.7)*0.5)*G18%</f>
        <v>2324596.918041395</v>
      </c>
      <c r="I18" s="914">
        <f>'CUADRO 2 -Predial y Agua'!G16</f>
        <v>3914840.08</v>
      </c>
      <c r="J18" s="923">
        <f t="shared" si="2"/>
        <v>0.37662780156766856</v>
      </c>
      <c r="K18" s="917">
        <f>((Datos!K$24*0.7)*(0.5))*'CUADRO 7 FFM'!J18%</f>
        <v>322236.54113669688</v>
      </c>
      <c r="L18" s="922">
        <f t="shared" si="3"/>
        <v>2646833.459178092</v>
      </c>
      <c r="M18" s="924">
        <f>'FGP 30%'!I46</f>
        <v>2687964.06</v>
      </c>
      <c r="N18" s="923">
        <f>M18/M$28*100</f>
        <v>17.2202688323631</v>
      </c>
      <c r="O18" s="922">
        <f>(Datos!K24-'CUADRO 7 FFM'!H28-'CUADRO 7 FFM'!K$28)*'CUADRO 7 FFM'!N18%</f>
        <v>12628609.942277299</v>
      </c>
      <c r="P18" s="925">
        <f t="shared" si="4"/>
        <v>15275443.401455391</v>
      </c>
      <c r="Q18" s="926">
        <f t="shared" si="5"/>
        <v>27557692.05105539</v>
      </c>
      <c r="R18" s="74">
        <f t="shared" si="1"/>
        <v>3.0936003202166535</v>
      </c>
      <c r="S18" s="74">
        <f t="shared" si="6"/>
        <v>1.5468001601083268</v>
      </c>
      <c r="T18" s="74">
        <v>1.606241</v>
      </c>
      <c r="U18" s="101">
        <f t="shared" si="7"/>
        <v>-5.9440839891673258E-2</v>
      </c>
      <c r="V18" s="74">
        <f t="shared" si="8"/>
        <v>17.2202688323631</v>
      </c>
      <c r="W18" s="5">
        <v>16.427489000000001</v>
      </c>
      <c r="X18" s="74">
        <f t="shared" si="9"/>
        <v>0.79277983236309879</v>
      </c>
      <c r="Y18" s="102">
        <v>2.2329530000000002</v>
      </c>
      <c r="Z18" s="103">
        <f t="shared" si="10"/>
        <v>-0.68615283989167342</v>
      </c>
      <c r="AA18" s="102">
        <v>14.111107000000001</v>
      </c>
      <c r="AB18" s="102">
        <f t="shared" si="13"/>
        <v>2.3163820000000008</v>
      </c>
      <c r="AG18" s="98">
        <f t="shared" si="11"/>
        <v>3.0936003202166535</v>
      </c>
      <c r="AH18" s="98">
        <f t="shared" si="12"/>
        <v>1.5468001601083268</v>
      </c>
    </row>
    <row r="19" spans="2:34" s="5" customFormat="1" ht="25.5" customHeight="1" x14ac:dyDescent="0.25">
      <c r="B19" s="408" t="s">
        <v>107</v>
      </c>
      <c r="C19" s="902" t="s">
        <v>56</v>
      </c>
      <c r="D19" s="927">
        <v>3.33</v>
      </c>
      <c r="E19" s="918">
        <v>14401369.015200002</v>
      </c>
      <c r="F19" s="914">
        <f>'CUADRO 1 - CENSO 2020'!C20</f>
        <v>24096</v>
      </c>
      <c r="G19" s="915">
        <f t="shared" si="0"/>
        <v>1.9503729796933278</v>
      </c>
      <c r="H19" s="916">
        <f>((Datos!K$24*0.7)*0.5)*G19%</f>
        <v>1668706.9841548384</v>
      </c>
      <c r="I19" s="914">
        <f>'CUADRO 2 -Predial y Agua'!G17</f>
        <v>3308501.2800000003</v>
      </c>
      <c r="J19" s="915">
        <f t="shared" si="2"/>
        <v>0.31829488257671501</v>
      </c>
      <c r="K19" s="917">
        <f>((Datos!K$24*0.7)*(0.5))*'CUADRO 7 FFM'!J19%</f>
        <v>272327.85682870972</v>
      </c>
      <c r="L19" s="918">
        <f t="shared" si="3"/>
        <v>1941034.8409835482</v>
      </c>
      <c r="M19" s="914">
        <v>0</v>
      </c>
      <c r="N19" s="915">
        <v>0</v>
      </c>
      <c r="O19" s="922">
        <f>(Datos!K31-'CUADRO 7 FFM'!H34-'CUADRO 7 FFM'!K$28)*'CUADRO 7 FFM'!N19%</f>
        <v>0</v>
      </c>
      <c r="P19" s="928">
        <f t="shared" si="4"/>
        <v>1941034.8409835482</v>
      </c>
      <c r="Q19" s="912">
        <f t="shared" si="5"/>
        <v>16342403.856183551</v>
      </c>
      <c r="R19" s="74">
        <f t="shared" si="1"/>
        <v>2.2686678622700427</v>
      </c>
      <c r="S19" s="74">
        <f t="shared" si="6"/>
        <v>1.1343339311350213</v>
      </c>
      <c r="T19" s="74">
        <v>1.225519</v>
      </c>
      <c r="U19" s="101">
        <f t="shared" si="7"/>
        <v>-9.118506886497868E-2</v>
      </c>
      <c r="V19" s="74">
        <f t="shared" si="8"/>
        <v>0</v>
      </c>
      <c r="X19" s="74">
        <f t="shared" si="9"/>
        <v>0</v>
      </c>
      <c r="Y19" s="102">
        <v>1.699298</v>
      </c>
      <c r="Z19" s="103">
        <f t="shared" si="10"/>
        <v>-0.56496406886497863</v>
      </c>
      <c r="AA19" s="102"/>
      <c r="AB19" s="102">
        <f t="shared" si="13"/>
        <v>0</v>
      </c>
      <c r="AG19" s="98">
        <f t="shared" si="11"/>
        <v>2.2686678622700427</v>
      </c>
      <c r="AH19" s="98">
        <f t="shared" si="12"/>
        <v>1.1343339311350213</v>
      </c>
    </row>
    <row r="20" spans="2:34" s="5" customFormat="1" ht="25.5" customHeight="1" x14ac:dyDescent="0.25">
      <c r="B20" s="408" t="s">
        <v>107</v>
      </c>
      <c r="C20" s="902" t="s">
        <v>57</v>
      </c>
      <c r="D20" s="927">
        <v>4.6900000000000004</v>
      </c>
      <c r="E20" s="918">
        <v>20283009.213600002</v>
      </c>
      <c r="F20" s="914">
        <f>'CUADRO 1 - CENSO 2020'!C21</f>
        <v>41518</v>
      </c>
      <c r="G20" s="915">
        <f t="shared" si="0"/>
        <v>3.3605405615416495</v>
      </c>
      <c r="H20" s="916">
        <f>((Datos!K$24*0.7)*0.5)*G20%</f>
        <v>2875223.1311479323</v>
      </c>
      <c r="I20" s="914">
        <f>'CUADRO 2 -Predial y Agua'!G18</f>
        <v>9332427.3200000003</v>
      </c>
      <c r="J20" s="915">
        <f t="shared" si="2"/>
        <v>0.89782762845874653</v>
      </c>
      <c r="K20" s="917">
        <f>((Datos!K$24*0.7)*(0.5))*'CUADRO 7 FFM'!J20%</f>
        <v>768166.52495455556</v>
      </c>
      <c r="L20" s="918">
        <f t="shared" si="3"/>
        <v>3643389.6561024878</v>
      </c>
      <c r="M20" s="914">
        <v>0</v>
      </c>
      <c r="N20" s="915">
        <v>0</v>
      </c>
      <c r="O20" s="922">
        <v>0</v>
      </c>
      <c r="P20" s="928">
        <f t="shared" si="4"/>
        <v>3643389.6561024878</v>
      </c>
      <c r="Q20" s="912">
        <f t="shared" si="5"/>
        <v>23926398.869702488</v>
      </c>
      <c r="R20" s="74">
        <f t="shared" si="1"/>
        <v>4.2583681900003958</v>
      </c>
      <c r="S20" s="74">
        <f t="shared" si="6"/>
        <v>2.1291840950001979</v>
      </c>
      <c r="T20" s="74">
        <v>2.2379220000000002</v>
      </c>
      <c r="U20" s="101">
        <f t="shared" si="7"/>
        <v>-0.10873790499980229</v>
      </c>
      <c r="V20" s="74">
        <f t="shared" si="8"/>
        <v>0</v>
      </c>
      <c r="X20" s="74">
        <f t="shared" si="9"/>
        <v>0</v>
      </c>
      <c r="Y20" s="102">
        <v>3.0983839999999998</v>
      </c>
      <c r="Z20" s="103">
        <f t="shared" si="10"/>
        <v>-0.96919990499980191</v>
      </c>
      <c r="AA20" s="102"/>
      <c r="AB20" s="102">
        <f t="shared" si="13"/>
        <v>0</v>
      </c>
      <c r="AG20" s="98">
        <f t="shared" si="11"/>
        <v>4.2583681900003958</v>
      </c>
      <c r="AH20" s="98">
        <f t="shared" si="12"/>
        <v>2.1291840950001979</v>
      </c>
    </row>
    <row r="21" spans="2:34" s="5" customFormat="1" ht="25.5" customHeight="1" x14ac:dyDescent="0.25">
      <c r="B21" s="408" t="s">
        <v>107</v>
      </c>
      <c r="C21" s="902" t="s">
        <v>58</v>
      </c>
      <c r="D21" s="927">
        <v>2.13</v>
      </c>
      <c r="E21" s="918">
        <v>9211686.4871999994</v>
      </c>
      <c r="F21" s="914">
        <f>'CUADRO 1 - CENSO 2020'!C22</f>
        <v>7683</v>
      </c>
      <c r="G21" s="915">
        <f t="shared" si="0"/>
        <v>0.62187564753418989</v>
      </c>
      <c r="H21" s="916">
        <f>((Datos!K$24*0.7)*0.5)*G21%</f>
        <v>532066.55707427068</v>
      </c>
      <c r="I21" s="914">
        <f>'CUADRO 2 -Predial y Agua'!G19</f>
        <v>2544565.9000000004</v>
      </c>
      <c r="J21" s="915">
        <f t="shared" si="2"/>
        <v>0.24480035998330132</v>
      </c>
      <c r="K21" s="917">
        <f>((Datos!K$24*0.7)*(0.5))*'CUADRO 7 FFM'!J21%</f>
        <v>209447.15430378099</v>
      </c>
      <c r="L21" s="918">
        <f t="shared" si="3"/>
        <v>741513.71137805167</v>
      </c>
      <c r="M21" s="914">
        <v>0</v>
      </c>
      <c r="N21" s="915">
        <f>M21/M$28*100</f>
        <v>0</v>
      </c>
      <c r="O21" s="918">
        <f>(Datos!K24-'CUADRO 7 FFM'!H28-'CUADRO 7 FFM'!K$28)*'CUADRO 7 FFM'!N21%</f>
        <v>0</v>
      </c>
      <c r="P21" s="928">
        <f t="shared" si="4"/>
        <v>741513.71137805167</v>
      </c>
      <c r="Q21" s="912">
        <f t="shared" si="5"/>
        <v>9953200.1985780504</v>
      </c>
      <c r="R21" s="74">
        <f t="shared" si="1"/>
        <v>0.86667600751749119</v>
      </c>
      <c r="S21" s="74">
        <f t="shared" si="6"/>
        <v>0.43333800375874559</v>
      </c>
      <c r="T21" s="74">
        <v>0.43209399999999998</v>
      </c>
      <c r="U21" s="101">
        <f t="shared" si="7"/>
        <v>1.2440037587456154E-3</v>
      </c>
      <c r="V21" s="74">
        <f t="shared" si="8"/>
        <v>0</v>
      </c>
      <c r="W21" s="5">
        <v>11.183956</v>
      </c>
      <c r="X21" s="74">
        <f t="shared" si="9"/>
        <v>-11.183956</v>
      </c>
      <c r="Y21" s="102">
        <v>0.59435300000000002</v>
      </c>
      <c r="Z21" s="103">
        <f t="shared" si="10"/>
        <v>-0.16101499624125443</v>
      </c>
      <c r="AA21" s="102">
        <v>3.7560030000000002</v>
      </c>
      <c r="AB21" s="102">
        <f t="shared" si="13"/>
        <v>7.4279530000000005</v>
      </c>
      <c r="AG21" s="98">
        <f t="shared" si="11"/>
        <v>0.86667600751749119</v>
      </c>
      <c r="AH21" s="98">
        <f t="shared" si="12"/>
        <v>0.43333800375874559</v>
      </c>
    </row>
    <row r="22" spans="2:34" s="5" customFormat="1" ht="25.5" customHeight="1" x14ac:dyDescent="0.25">
      <c r="B22" s="408" t="s">
        <v>109</v>
      </c>
      <c r="C22" s="902" t="s">
        <v>59</v>
      </c>
      <c r="D22" s="927">
        <v>2.81</v>
      </c>
      <c r="E22" s="918">
        <v>12152506.5864</v>
      </c>
      <c r="F22" s="914">
        <f>'CUADRO 1 - CENSO 2020'!C23</f>
        <v>24911</v>
      </c>
      <c r="G22" s="915">
        <f t="shared" si="0"/>
        <v>2.0163405252797348</v>
      </c>
      <c r="H22" s="916">
        <f>((Datos!K$24*0.7)*0.5)*G22%</f>
        <v>1725147.7291783358</v>
      </c>
      <c r="I22" s="914">
        <f>'CUADRO 2 -Predial y Agua'!G20</f>
        <v>4892870.55</v>
      </c>
      <c r="J22" s="915">
        <f t="shared" si="2"/>
        <v>0.47071937574565992</v>
      </c>
      <c r="K22" s="917">
        <f>((Datos!K$24*0.7)*(0.5))*'CUADRO 7 FFM'!J22%</f>
        <v>402739.74160947278</v>
      </c>
      <c r="L22" s="918">
        <f t="shared" si="3"/>
        <v>2127887.4707878083</v>
      </c>
      <c r="M22" s="914">
        <v>0</v>
      </c>
      <c r="N22" s="915">
        <v>0</v>
      </c>
      <c r="O22" s="918">
        <v>0</v>
      </c>
      <c r="P22" s="928">
        <f t="shared" si="4"/>
        <v>2127887.4707878083</v>
      </c>
      <c r="Q22" s="912">
        <f t="shared" si="5"/>
        <v>14280394.057187809</v>
      </c>
      <c r="R22" s="74">
        <f t="shared" si="1"/>
        <v>2.4870599010253946</v>
      </c>
      <c r="S22" s="74">
        <f t="shared" si="6"/>
        <v>1.2435299505126973</v>
      </c>
      <c r="T22" s="74">
        <v>1.3994949999999999</v>
      </c>
      <c r="U22" s="101">
        <f t="shared" si="7"/>
        <v>-0.15596504948730261</v>
      </c>
      <c r="V22" s="74">
        <f t="shared" si="8"/>
        <v>0</v>
      </c>
      <c r="X22" s="74">
        <f t="shared" si="9"/>
        <v>0</v>
      </c>
      <c r="Y22" s="102">
        <v>1.921861</v>
      </c>
      <c r="Z22" s="103">
        <f t="shared" si="10"/>
        <v>-0.67833104948730272</v>
      </c>
      <c r="AA22" s="102"/>
      <c r="AB22" s="102">
        <f t="shared" si="13"/>
        <v>0</v>
      </c>
      <c r="AG22" s="98">
        <f t="shared" si="11"/>
        <v>2.4870599010253946</v>
      </c>
      <c r="AH22" s="98">
        <f t="shared" si="12"/>
        <v>1.2435299505126973</v>
      </c>
    </row>
    <row r="23" spans="2:34" s="5" customFormat="1" ht="25.5" customHeight="1" x14ac:dyDescent="0.25">
      <c r="B23" s="407" t="s">
        <v>108</v>
      </c>
      <c r="C23" s="920" t="s">
        <v>60</v>
      </c>
      <c r="D23" s="921">
        <v>8.34</v>
      </c>
      <c r="E23" s="922">
        <v>36068293.569600001</v>
      </c>
      <c r="F23" s="914">
        <f>'CUADRO 1 - CENSO 2020'!C24</f>
        <v>93981</v>
      </c>
      <c r="G23" s="923">
        <f t="shared" si="0"/>
        <v>7.6069888365105687</v>
      </c>
      <c r="H23" s="916">
        <f>((Datos!K$24*0.7)*0.5)*G23%</f>
        <v>6508414.3043598887</v>
      </c>
      <c r="I23" s="914">
        <f>'CUADRO 2 -Predial y Agua'!G21</f>
        <v>27929195.390000001</v>
      </c>
      <c r="J23" s="923">
        <f t="shared" si="2"/>
        <v>2.6869326062712537</v>
      </c>
      <c r="K23" s="917">
        <f>((Datos!K$24*0.7)*(0.5))*'CUADRO 7 FFM'!J23%</f>
        <v>2298895.2639936651</v>
      </c>
      <c r="L23" s="922">
        <f t="shared" si="3"/>
        <v>8807309.5683535542</v>
      </c>
      <c r="M23" s="924">
        <f>'FGP 30%'!I51</f>
        <v>9591506.0399999991</v>
      </c>
      <c r="N23" s="923">
        <f>M23/M$28*100</f>
        <v>61.447366419041479</v>
      </c>
      <c r="O23" s="922">
        <f>(Datos!K24-'CUADRO 7 FFM'!H28-'CUADRO 7 FFM'!K$28)*'CUADRO 7 FFM'!N23%</f>
        <v>45062875.036415763</v>
      </c>
      <c r="P23" s="925">
        <f t="shared" si="4"/>
        <v>53870184.604769319</v>
      </c>
      <c r="Q23" s="926">
        <f t="shared" si="5"/>
        <v>89938478.17436932</v>
      </c>
      <c r="R23" s="74">
        <f t="shared" si="1"/>
        <v>10.293921442781823</v>
      </c>
      <c r="S23" s="74">
        <f t="shared" si="6"/>
        <v>5.1469607213909114</v>
      </c>
      <c r="T23" s="74">
        <v>5.5728949999999999</v>
      </c>
      <c r="U23" s="101">
        <f t="shared" si="7"/>
        <v>-0.4259342786090885</v>
      </c>
      <c r="V23" s="74">
        <f t="shared" si="8"/>
        <v>61.447366419041479</v>
      </c>
      <c r="W23" s="5">
        <v>59.916367999999999</v>
      </c>
      <c r="X23" s="74">
        <f t="shared" si="9"/>
        <v>1.5309984190414809</v>
      </c>
      <c r="Y23" s="102">
        <v>7.6699279999999996</v>
      </c>
      <c r="Z23" s="103">
        <f t="shared" si="10"/>
        <v>-2.5229672786090882</v>
      </c>
      <c r="AA23" s="102">
        <v>48.469971999999999</v>
      </c>
      <c r="AB23" s="102">
        <f t="shared" si="13"/>
        <v>11.446396</v>
      </c>
      <c r="AG23" s="98">
        <f t="shared" si="11"/>
        <v>10.293921442781823</v>
      </c>
      <c r="AH23" s="98">
        <f t="shared" si="12"/>
        <v>5.1469607213909114</v>
      </c>
    </row>
    <row r="24" spans="2:34" s="5" customFormat="1" ht="25.5" customHeight="1" x14ac:dyDescent="0.25">
      <c r="B24" s="408" t="s">
        <v>107</v>
      </c>
      <c r="C24" s="902" t="s">
        <v>61</v>
      </c>
      <c r="D24" s="927">
        <v>3.5</v>
      </c>
      <c r="E24" s="918">
        <v>15136574.040000001</v>
      </c>
      <c r="F24" s="914">
        <f>'CUADRO 1 - CENSO 2020'!C25</f>
        <v>37135</v>
      </c>
      <c r="G24" s="915">
        <f t="shared" si="0"/>
        <v>3.0057727673021133</v>
      </c>
      <c r="H24" s="916">
        <f>((Datos!K$24*0.7)*0.5)*G24%</f>
        <v>2571689.652082915</v>
      </c>
      <c r="I24" s="914">
        <f>'CUADRO 2 -Predial y Agua'!G22</f>
        <v>7019368.6100000003</v>
      </c>
      <c r="J24" s="915">
        <f t="shared" si="2"/>
        <v>0.67529945386106349</v>
      </c>
      <c r="K24" s="917">
        <f>((Datos!K$24*0.7)*(0.5))*'CUADRO 7 FFM'!J24%</f>
        <v>577775.08547677496</v>
      </c>
      <c r="L24" s="918">
        <f t="shared" si="3"/>
        <v>3149464.7375596901</v>
      </c>
      <c r="M24" s="914">
        <v>0</v>
      </c>
      <c r="N24" s="915">
        <v>0</v>
      </c>
      <c r="O24" s="918">
        <v>0</v>
      </c>
      <c r="P24" s="928">
        <f t="shared" si="4"/>
        <v>3149464.7375596901</v>
      </c>
      <c r="Q24" s="912">
        <f t="shared" si="5"/>
        <v>18286038.77755969</v>
      </c>
      <c r="R24" s="74">
        <f t="shared" si="1"/>
        <v>3.681072221163177</v>
      </c>
      <c r="S24" s="74">
        <f t="shared" si="6"/>
        <v>1.8405361105815885</v>
      </c>
      <c r="T24" s="74">
        <v>2.767077</v>
      </c>
      <c r="U24" s="101">
        <f t="shared" si="7"/>
        <v>-0.92654088941841151</v>
      </c>
      <c r="V24" s="74">
        <f t="shared" si="8"/>
        <v>0</v>
      </c>
      <c r="X24" s="74">
        <f t="shared" si="9"/>
        <v>0</v>
      </c>
      <c r="Y24" s="102">
        <v>3.7737189999999998</v>
      </c>
      <c r="Z24" s="103">
        <f t="shared" si="10"/>
        <v>-1.9331828894184113</v>
      </c>
      <c r="AA24" s="102"/>
      <c r="AB24" s="102">
        <f t="shared" si="13"/>
        <v>0</v>
      </c>
      <c r="AG24" s="98">
        <f t="shared" si="11"/>
        <v>3.681072221163177</v>
      </c>
      <c r="AH24" s="98">
        <f t="shared" si="12"/>
        <v>1.8405361105815885</v>
      </c>
    </row>
    <row r="25" spans="2:34" s="5" customFormat="1" ht="25.5" customHeight="1" x14ac:dyDescent="0.25">
      <c r="B25" s="408" t="s">
        <v>107</v>
      </c>
      <c r="C25" s="902" t="s">
        <v>62</v>
      </c>
      <c r="D25" s="927">
        <v>39</v>
      </c>
      <c r="E25" s="918">
        <v>168664682.16</v>
      </c>
      <c r="F25" s="914">
        <f>'CUADRO 1 - CENSO 2020'!C26</f>
        <v>425924</v>
      </c>
      <c r="G25" s="915">
        <f t="shared" si="0"/>
        <v>34.475044032324909</v>
      </c>
      <c r="H25" s="916">
        <f>((Datos!K$24*0.7)*0.5)*G25%</f>
        <v>29496279.61151915</v>
      </c>
      <c r="I25" s="914">
        <f>'CUADRO 2 -Predial y Agua'!G23</f>
        <v>341491450.50999999</v>
      </c>
      <c r="J25" s="915">
        <f t="shared" si="2"/>
        <v>32.853238352391543</v>
      </c>
      <c r="K25" s="917">
        <f>((Datos!K$24*0.7)*(0.5))*'CUADRO 7 FFM'!J25%</f>
        <v>28108689.395071253</v>
      </c>
      <c r="L25" s="918">
        <f t="shared" si="3"/>
        <v>57604969.006590404</v>
      </c>
      <c r="M25" s="914">
        <v>0</v>
      </c>
      <c r="N25" s="915">
        <v>0</v>
      </c>
      <c r="O25" s="918">
        <v>0</v>
      </c>
      <c r="P25" s="928">
        <f t="shared" si="4"/>
        <v>57604969.006590404</v>
      </c>
      <c r="Q25" s="912">
        <f t="shared" si="5"/>
        <v>226269651.16659039</v>
      </c>
      <c r="R25" s="74">
        <f t="shared" si="1"/>
        <v>67.328282384716459</v>
      </c>
      <c r="S25" s="74">
        <f t="shared" si="6"/>
        <v>33.66414119235823</v>
      </c>
      <c r="T25" s="74">
        <v>35.053296000000003</v>
      </c>
      <c r="U25" s="101">
        <f t="shared" si="7"/>
        <v>-1.3891548076417735</v>
      </c>
      <c r="V25" s="74">
        <f t="shared" si="8"/>
        <v>0</v>
      </c>
      <c r="X25" s="74">
        <f t="shared" si="9"/>
        <v>0</v>
      </c>
      <c r="Y25" s="102">
        <v>47.455587999999999</v>
      </c>
      <c r="Z25" s="103">
        <f t="shared" si="10"/>
        <v>-13.791446807641769</v>
      </c>
      <c r="AA25" s="102"/>
      <c r="AB25" s="102">
        <f t="shared" si="13"/>
        <v>0</v>
      </c>
      <c r="AG25" s="98">
        <f t="shared" si="11"/>
        <v>67.328282384716459</v>
      </c>
      <c r="AH25" s="98">
        <f t="shared" si="12"/>
        <v>33.66414119235823</v>
      </c>
    </row>
    <row r="26" spans="2:34" s="5" customFormat="1" ht="25.5" customHeight="1" x14ac:dyDescent="0.25">
      <c r="B26" s="407" t="s">
        <v>110</v>
      </c>
      <c r="C26" s="920" t="s">
        <v>63</v>
      </c>
      <c r="D26" s="921">
        <v>3.79</v>
      </c>
      <c r="E26" s="922">
        <v>16390747.317600001</v>
      </c>
      <c r="F26" s="914">
        <f>'CUADRO 1 - CENSO 2020'!C27</f>
        <v>30064</v>
      </c>
      <c r="G26" s="923">
        <f t="shared" si="0"/>
        <v>2.4334334852880231</v>
      </c>
      <c r="H26" s="916">
        <f>((Datos!K$24*0.7)*0.5)*G26%</f>
        <v>2082005.5931121786</v>
      </c>
      <c r="I26" s="914">
        <f>'CUADRO 2 -Predial y Agua'!G24</f>
        <v>5251750.58</v>
      </c>
      <c r="J26" s="923">
        <f t="shared" si="2"/>
        <v>0.50524548510475253</v>
      </c>
      <c r="K26" s="917">
        <f>((Datos!K$24*0.7)*(0.5))*'CUADRO 7 FFM'!J26%</f>
        <v>432279.71187314548</v>
      </c>
      <c r="L26" s="922">
        <f t="shared" si="3"/>
        <v>2514285.3049853239</v>
      </c>
      <c r="M26" s="924">
        <f>'FGP 30%'!I54</f>
        <v>3218818.87</v>
      </c>
      <c r="N26" s="923">
        <f>M26/M$28*100</f>
        <v>20.621156022481646</v>
      </c>
      <c r="O26" s="922">
        <f>(Datos!K24-'CUADRO 7 FFM'!H28-'CUADRO 7 FFM'!K$28)*'CUADRO 7 FFM'!N26%</f>
        <v>15122675.40663166</v>
      </c>
      <c r="P26" s="925">
        <f t="shared" si="4"/>
        <v>17636960.711616985</v>
      </c>
      <c r="Q26" s="926">
        <f t="shared" si="5"/>
        <v>34027708.02921699</v>
      </c>
      <c r="R26" s="74">
        <f t="shared" si="1"/>
        <v>2.9386789703927754</v>
      </c>
      <c r="S26" s="74">
        <f t="shared" si="6"/>
        <v>1.4693394851963877</v>
      </c>
      <c r="T26" s="74">
        <v>1.450617</v>
      </c>
      <c r="U26" s="101">
        <f t="shared" si="7"/>
        <v>1.8722485196387639E-2</v>
      </c>
      <c r="V26" s="74">
        <f t="shared" si="8"/>
        <v>20.621156022481646</v>
      </c>
      <c r="W26" s="5">
        <v>11.919331</v>
      </c>
      <c r="X26" s="74">
        <f t="shared" si="9"/>
        <v>8.7018250224816462</v>
      </c>
      <c r="Y26" s="102">
        <v>2.0164080000000002</v>
      </c>
      <c r="Z26" s="103">
        <f t="shared" si="10"/>
        <v>-0.54706851480361252</v>
      </c>
      <c r="AA26" s="102">
        <v>12.742653000000001</v>
      </c>
      <c r="AB26" s="102">
        <f t="shared" si="13"/>
        <v>-0.823322000000001</v>
      </c>
      <c r="AG26" s="98">
        <f t="shared" si="11"/>
        <v>2.9386789703927754</v>
      </c>
      <c r="AH26" s="98">
        <f t="shared" si="12"/>
        <v>1.4693394851963877</v>
      </c>
    </row>
    <row r="27" spans="2:34" s="5" customFormat="1" ht="25.5" customHeight="1" thickBot="1" x14ac:dyDescent="0.3">
      <c r="B27" s="409" t="s">
        <v>107</v>
      </c>
      <c r="C27" s="929" t="s">
        <v>64</v>
      </c>
      <c r="D27" s="927">
        <v>3.1</v>
      </c>
      <c r="E27" s="918">
        <v>13406679.864</v>
      </c>
      <c r="F27" s="914">
        <f>'CUADRO 1 - CENSO 2020'!C28</f>
        <v>65229</v>
      </c>
      <c r="G27" s="915">
        <f t="shared" si="0"/>
        <v>5.2797509583506006</v>
      </c>
      <c r="H27" s="916">
        <f>((Datos!K$24*0.7)*0.5)*G27%</f>
        <v>4517267.922868358</v>
      </c>
      <c r="I27" s="914">
        <f>'CUADRO 2 -Predial y Agua'!G25</f>
        <v>56062887.089999996</v>
      </c>
      <c r="J27" s="915">
        <f t="shared" si="2"/>
        <v>5.3935388119974306</v>
      </c>
      <c r="K27" s="917">
        <f>((Datos!K$24*0.7)*(0.5))*'CUADRO 7 FFM'!J27%</f>
        <v>4614622.9355092272</v>
      </c>
      <c r="L27" s="918">
        <f t="shared" si="3"/>
        <v>9131890.8583775852</v>
      </c>
      <c r="M27" s="914">
        <v>0</v>
      </c>
      <c r="N27" s="915">
        <v>0</v>
      </c>
      <c r="O27" s="918">
        <v>0</v>
      </c>
      <c r="P27" s="928">
        <f t="shared" si="4"/>
        <v>9131890.8583775852</v>
      </c>
      <c r="Q27" s="912">
        <f t="shared" si="5"/>
        <v>22538570.722377583</v>
      </c>
      <c r="R27" s="74">
        <f t="shared" si="1"/>
        <v>10.673289770348031</v>
      </c>
      <c r="S27" s="74">
        <f t="shared" si="6"/>
        <v>5.3366448851740156</v>
      </c>
      <c r="T27" s="74">
        <v>5.1532229999999997</v>
      </c>
      <c r="U27" s="101">
        <f t="shared" si="7"/>
        <v>0.18342188517401592</v>
      </c>
      <c r="V27" s="74">
        <f t="shared" si="8"/>
        <v>0</v>
      </c>
      <c r="X27" s="74">
        <f t="shared" si="9"/>
        <v>0</v>
      </c>
      <c r="Y27" s="102">
        <v>6.9632639999999997</v>
      </c>
      <c r="Z27" s="103">
        <f t="shared" si="10"/>
        <v>-1.6266191148259841</v>
      </c>
      <c r="AA27" s="102"/>
      <c r="AB27" s="102"/>
      <c r="AG27" s="98">
        <f t="shared" si="11"/>
        <v>10.673289770348031</v>
      </c>
      <c r="AH27" s="98">
        <f t="shared" si="12"/>
        <v>5.3366448851740156</v>
      </c>
    </row>
    <row r="28" spans="2:34" ht="15.75" thickBot="1" x14ac:dyDescent="0.3">
      <c r="B28" s="1118" t="s">
        <v>65</v>
      </c>
      <c r="C28" s="1119"/>
      <c r="D28" s="930">
        <f>SUM(D8:D27)</f>
        <v>100</v>
      </c>
      <c r="E28" s="931">
        <f>SUM(E8:E27)</f>
        <v>432473544.00000006</v>
      </c>
      <c r="F28" s="932">
        <f>SUM(F8:F27)</f>
        <v>1235456</v>
      </c>
      <c r="G28" s="933">
        <f t="shared" si="0"/>
        <v>100</v>
      </c>
      <c r="H28" s="934">
        <f>SUM(H8:H27)</f>
        <v>85558352.250000015</v>
      </c>
      <c r="I28" s="934">
        <f>SUM(I8:I27)</f>
        <v>1039445326.0500001</v>
      </c>
      <c r="J28" s="933">
        <f>I28/I$28*100</f>
        <v>100</v>
      </c>
      <c r="K28" s="934">
        <f>SUM(K8:K27)</f>
        <v>85558352.25</v>
      </c>
      <c r="L28" s="931">
        <f>SUM(L8:L27)</f>
        <v>171116704.49999997</v>
      </c>
      <c r="M28" s="932">
        <f>SUM(M8:M27)</f>
        <v>15609303.699999999</v>
      </c>
      <c r="N28" s="933">
        <f>SUM(N8:N27)</f>
        <v>100</v>
      </c>
      <c r="O28" s="934">
        <f>(Datos!K24-'CUADRO 7 FFM'!H28-'CUADRO 7 FFM'!K$28)*'CUADRO 7 FFM'!N28%</f>
        <v>73335730.5</v>
      </c>
      <c r="P28" s="935">
        <f>SUM(P8:P27)</f>
        <v>244452434.99999997</v>
      </c>
      <c r="Q28" s="931">
        <f>SUM(Q8:Q27)</f>
        <v>676925979</v>
      </c>
      <c r="R28" s="98">
        <f>SUM(R8:R27)</f>
        <v>199.99999999999994</v>
      </c>
      <c r="S28" s="98">
        <f t="shared" si="6"/>
        <v>99.999999999999972</v>
      </c>
      <c r="T28" s="98">
        <f>SUM(T8:T27)</f>
        <v>100.000001</v>
      </c>
      <c r="U28" s="98">
        <f>SUM(U8:U27)</f>
        <v>4.0833244343555064E-2</v>
      </c>
      <c r="V28" s="98">
        <f>SUM(V8:V27)</f>
        <v>100</v>
      </c>
      <c r="W28" s="98">
        <f t="shared" ref="W28:X28" si="14">SUM(W8:W27)</f>
        <v>99.999999000000003</v>
      </c>
      <c r="X28" s="98">
        <f t="shared" si="14"/>
        <v>9.9999999925159955E-7</v>
      </c>
      <c r="Y28" s="100">
        <f>SUM(Y8:Y27)</f>
        <v>140.00000000000003</v>
      </c>
      <c r="Z28" s="100">
        <f t="shared" ref="Z28:AB28" si="15">SUM(Z8:Z27)</f>
        <v>-40</v>
      </c>
      <c r="AA28" s="100">
        <f t="shared" si="15"/>
        <v>99.999999000000003</v>
      </c>
      <c r="AB28" s="100">
        <f t="shared" si="15"/>
        <v>1.7763568394002505E-15</v>
      </c>
      <c r="AG28" s="98">
        <f t="shared" si="11"/>
        <v>200</v>
      </c>
      <c r="AH28">
        <f t="shared" si="12"/>
        <v>100</v>
      </c>
    </row>
    <row r="29" spans="2:34" x14ac:dyDescent="0.25">
      <c r="B29" s="1120" t="s">
        <v>271</v>
      </c>
      <c r="C29" s="1120"/>
      <c r="D29" s="1120"/>
      <c r="E29" s="1120"/>
      <c r="F29" s="1120"/>
      <c r="G29" s="1120"/>
      <c r="H29" s="1120"/>
      <c r="I29" s="1120"/>
      <c r="J29" s="1120"/>
      <c r="K29" s="1120"/>
      <c r="L29" s="1120"/>
      <c r="M29" s="1120"/>
      <c r="N29" s="1120"/>
      <c r="O29" s="1120"/>
      <c r="P29" s="1120"/>
      <c r="Q29" s="1120"/>
      <c r="R29" s="8"/>
      <c r="S29" s="8"/>
      <c r="T29" s="8"/>
      <c r="U29" s="8"/>
    </row>
    <row r="30" spans="2:34" x14ac:dyDescent="0.25">
      <c r="C30" s="566" t="s">
        <v>270</v>
      </c>
      <c r="D30" s="56"/>
      <c r="E30" s="8"/>
      <c r="F30" s="8"/>
      <c r="G30" s="8"/>
      <c r="H30" s="567"/>
      <c r="I30" s="8"/>
      <c r="J30" s="8"/>
      <c r="K30" s="82"/>
      <c r="L30" s="82"/>
      <c r="M30" s="568"/>
      <c r="N30" s="568"/>
      <c r="O30" s="569"/>
      <c r="P30" s="8"/>
      <c r="Q30" s="8"/>
      <c r="R30" s="8"/>
      <c r="S30" s="8"/>
      <c r="T30" s="8"/>
      <c r="U30" s="8"/>
    </row>
    <row r="31" spans="2:34" ht="27" customHeight="1" x14ac:dyDescent="0.25">
      <c r="C31" s="1121" t="s">
        <v>315</v>
      </c>
      <c r="D31" s="1121"/>
      <c r="E31" s="1121"/>
      <c r="F31" s="1121"/>
      <c r="G31" s="1121"/>
      <c r="H31" s="1121"/>
      <c r="I31" s="1121"/>
      <c r="J31" s="1121"/>
      <c r="K31" s="1121"/>
      <c r="L31" s="1121"/>
      <c r="M31" s="1121"/>
      <c r="N31" s="1121"/>
      <c r="O31" s="1121"/>
      <c r="P31" s="1121"/>
      <c r="Q31" s="1121"/>
      <c r="R31" s="565"/>
      <c r="S31" s="565"/>
      <c r="T31" s="565"/>
      <c r="U31" s="565"/>
    </row>
    <row r="32" spans="2:34" x14ac:dyDescent="0.25">
      <c r="C32" s="1101" t="s">
        <v>317</v>
      </c>
      <c r="D32" s="1101"/>
      <c r="E32" s="1101"/>
      <c r="F32" s="1101"/>
      <c r="G32" s="1101"/>
      <c r="H32" s="1101"/>
      <c r="I32" s="1101"/>
      <c r="J32" s="1101"/>
      <c r="K32" s="1101"/>
      <c r="L32" s="1101"/>
      <c r="M32" s="1101"/>
      <c r="N32" s="1101"/>
      <c r="O32" s="1101"/>
      <c r="P32" s="1101"/>
      <c r="Q32" s="1101"/>
      <c r="R32" s="1101"/>
      <c r="S32" s="1101"/>
      <c r="T32" s="1101"/>
      <c r="U32" s="1101"/>
    </row>
    <row r="33" spans="3:21" ht="15" hidden="1" customHeight="1" x14ac:dyDescent="0.25">
      <c r="C33" s="1101" t="s">
        <v>272</v>
      </c>
      <c r="D33" s="1101"/>
      <c r="E33" s="1101"/>
      <c r="F33" s="1101"/>
      <c r="G33" s="1101"/>
      <c r="H33" s="1101"/>
      <c r="I33" s="1101"/>
      <c r="J33" s="1101"/>
      <c r="K33" s="1101"/>
      <c r="L33" s="1101"/>
      <c r="M33" s="1101"/>
      <c r="N33" s="1101"/>
      <c r="O33" s="1101"/>
      <c r="P33" s="1101"/>
      <c r="Q33" s="1101"/>
      <c r="R33" s="1101"/>
      <c r="S33" s="1101"/>
      <c r="T33" s="1101"/>
      <c r="U33" s="1101"/>
    </row>
    <row r="34" spans="3:21" hidden="1" x14ac:dyDescent="0.25">
      <c r="C34" s="565"/>
      <c r="D34" s="565"/>
      <c r="E34" s="565"/>
      <c r="F34" s="565"/>
      <c r="G34" s="565"/>
      <c r="H34" s="565"/>
      <c r="I34" s="565"/>
      <c r="J34" s="565"/>
      <c r="K34" s="570"/>
      <c r="L34" s="570"/>
      <c r="M34" s="565"/>
      <c r="N34" s="565"/>
      <c r="O34" s="570"/>
      <c r="P34" s="565"/>
      <c r="Q34" s="565"/>
      <c r="R34" s="565"/>
      <c r="S34" s="565"/>
      <c r="T34" s="565"/>
      <c r="U34" s="565"/>
    </row>
    <row r="35" spans="3:21" hidden="1" x14ac:dyDescent="0.25">
      <c r="C35" s="1103" t="s">
        <v>83</v>
      </c>
      <c r="D35" s="571" t="s">
        <v>84</v>
      </c>
      <c r="E35" s="571" t="s">
        <v>20</v>
      </c>
      <c r="F35" s="571" t="s">
        <v>112</v>
      </c>
      <c r="G35" s="572" t="s">
        <v>113</v>
      </c>
      <c r="H35" s="572" t="s">
        <v>82</v>
      </c>
      <c r="I35" s="571" t="s">
        <v>114</v>
      </c>
      <c r="J35" s="571" t="s">
        <v>115</v>
      </c>
      <c r="K35" s="570"/>
      <c r="L35" s="570"/>
      <c r="M35" s="565"/>
      <c r="N35" s="565"/>
      <c r="O35" s="570"/>
      <c r="P35" s="565"/>
      <c r="Q35" s="565"/>
      <c r="R35" s="565"/>
      <c r="S35" s="565"/>
      <c r="T35" s="565"/>
      <c r="U35" s="565"/>
    </row>
    <row r="36" spans="3:21" hidden="1" x14ac:dyDescent="0.25">
      <c r="C36" s="1104"/>
      <c r="D36" s="573" t="s">
        <v>87</v>
      </c>
      <c r="E36" s="573" t="s">
        <v>30</v>
      </c>
      <c r="F36" s="573" t="s">
        <v>116</v>
      </c>
      <c r="G36" s="574" t="s">
        <v>117</v>
      </c>
      <c r="H36" s="574" t="s">
        <v>118</v>
      </c>
      <c r="I36" s="573" t="s">
        <v>119</v>
      </c>
      <c r="J36" s="573" t="s">
        <v>120</v>
      </c>
      <c r="K36" s="570"/>
      <c r="L36" s="570"/>
      <c r="M36" s="565"/>
      <c r="N36" s="565"/>
      <c r="O36" s="570"/>
      <c r="P36" s="565"/>
      <c r="Q36" s="565"/>
      <c r="R36" s="565"/>
      <c r="S36" s="565"/>
      <c r="T36" s="565"/>
      <c r="U36" s="565"/>
    </row>
    <row r="37" spans="3:21" hidden="1" x14ac:dyDescent="0.25">
      <c r="C37" s="1104"/>
      <c r="D37" s="575">
        <v>2014</v>
      </c>
      <c r="E37" s="575" t="s">
        <v>121</v>
      </c>
      <c r="F37" s="575" t="s">
        <v>122</v>
      </c>
      <c r="G37" s="574" t="s">
        <v>123</v>
      </c>
      <c r="H37" s="574" t="s">
        <v>124</v>
      </c>
      <c r="I37" s="573">
        <v>2014</v>
      </c>
      <c r="J37" s="573" t="s">
        <v>125</v>
      </c>
      <c r="K37" s="570"/>
      <c r="L37" s="570"/>
      <c r="M37" s="565"/>
      <c r="N37" s="565"/>
      <c r="O37" s="570"/>
      <c r="P37" s="565"/>
      <c r="Q37" s="565"/>
      <c r="R37" s="565"/>
      <c r="S37" s="565"/>
      <c r="T37" s="565"/>
      <c r="U37" s="565"/>
    </row>
    <row r="38" spans="3:21" hidden="1" x14ac:dyDescent="0.25">
      <c r="C38" s="1105"/>
      <c r="D38" s="576" t="s">
        <v>70</v>
      </c>
      <c r="E38" s="576" t="s">
        <v>92</v>
      </c>
      <c r="F38" s="576" t="s">
        <v>71</v>
      </c>
      <c r="G38" s="576" t="s">
        <v>93</v>
      </c>
      <c r="H38" s="576" t="s">
        <v>73</v>
      </c>
      <c r="I38" s="576" t="s">
        <v>126</v>
      </c>
      <c r="J38" s="576" t="s">
        <v>74</v>
      </c>
      <c r="K38" s="570"/>
      <c r="L38" s="570"/>
      <c r="M38" s="565"/>
      <c r="N38" s="565"/>
      <c r="O38" s="570"/>
      <c r="P38" s="565"/>
      <c r="Q38" s="565"/>
      <c r="R38" s="565"/>
      <c r="S38" s="565"/>
      <c r="T38" s="565"/>
      <c r="U38" s="565"/>
    </row>
    <row r="39" spans="3:21" hidden="1" x14ac:dyDescent="0.25">
      <c r="C39" s="577" t="s">
        <v>45</v>
      </c>
      <c r="D39" s="578">
        <v>3.62</v>
      </c>
      <c r="E39" s="579">
        <f>[1]Datos!K$23*'CUADRO 7 FFM'!D39%</f>
        <v>15655542.292800002</v>
      </c>
      <c r="F39" s="580">
        <f>E39*0.7</f>
        <v>10958879.60496</v>
      </c>
      <c r="G39" s="580">
        <f t="shared" ref="G39:G59" si="16">H8+K8</f>
        <v>3556465.4591748305</v>
      </c>
      <c r="H39" s="580">
        <f t="shared" ref="H39:H59" si="17">E39+G39</f>
        <v>19212007.751974832</v>
      </c>
      <c r="I39" s="580">
        <f>F39+G39</f>
        <v>14515345.064134831</v>
      </c>
      <c r="J39" s="581">
        <f>H39-I39</f>
        <v>4696662.6878400017</v>
      </c>
      <c r="K39" s="570"/>
      <c r="L39" s="570"/>
      <c r="M39" s="565"/>
      <c r="N39" s="565"/>
      <c r="O39" s="570"/>
      <c r="P39" s="565"/>
      <c r="Q39" s="565"/>
      <c r="R39" s="565"/>
      <c r="S39" s="565"/>
      <c r="T39" s="565"/>
      <c r="U39" s="565"/>
    </row>
    <row r="40" spans="3:21" hidden="1" x14ac:dyDescent="0.25">
      <c r="C40" s="582" t="s">
        <v>46</v>
      </c>
      <c r="D40" s="583">
        <v>2.4700000000000002</v>
      </c>
      <c r="E40" s="584">
        <f>[1]Datos!K$23*'CUADRO 7 FFM'!D40%</f>
        <v>10682096.536800001</v>
      </c>
      <c r="F40" s="580">
        <f t="shared" ref="F40:F59" si="18">E40*0.7</f>
        <v>7477467.5757600004</v>
      </c>
      <c r="G40" s="580">
        <f t="shared" si="16"/>
        <v>1713566.2167950254</v>
      </c>
      <c r="H40" s="580">
        <f t="shared" si="17"/>
        <v>12395662.753595026</v>
      </c>
      <c r="I40" s="580">
        <f t="shared" ref="I40:I58" si="19">F40+G40</f>
        <v>9191033.7925550267</v>
      </c>
      <c r="J40" s="581">
        <f t="shared" ref="J40:J58" si="20">H40-I40</f>
        <v>3204628.9610399995</v>
      </c>
      <c r="K40" s="570"/>
      <c r="L40" s="570"/>
      <c r="M40" s="565"/>
      <c r="N40" s="565"/>
      <c r="O40" s="570"/>
      <c r="P40" s="565"/>
      <c r="Q40" s="565"/>
      <c r="R40" s="565"/>
      <c r="S40" s="565"/>
      <c r="T40" s="565"/>
      <c r="U40" s="565"/>
    </row>
    <row r="41" spans="3:21" hidden="1" x14ac:dyDescent="0.25">
      <c r="C41" s="582" t="s">
        <v>47</v>
      </c>
      <c r="D41" s="583">
        <v>2.33</v>
      </c>
      <c r="E41" s="584">
        <f>[1]Datos!K$23*'CUADRO 7 FFM'!D41%</f>
        <v>10076633.575200001</v>
      </c>
      <c r="F41" s="580">
        <f t="shared" si="18"/>
        <v>7053643.5026400005</v>
      </c>
      <c r="G41" s="580">
        <f t="shared" si="16"/>
        <v>1093432.0364473006</v>
      </c>
      <c r="H41" s="580">
        <f t="shared" si="17"/>
        <v>11170065.6116473</v>
      </c>
      <c r="I41" s="580">
        <f t="shared" si="19"/>
        <v>8147075.5390873011</v>
      </c>
      <c r="J41" s="581">
        <f t="shared" si="20"/>
        <v>3022990.0725599993</v>
      </c>
      <c r="K41" s="570"/>
      <c r="L41" s="570"/>
      <c r="M41" s="565"/>
      <c r="N41" s="565"/>
      <c r="O41" s="570"/>
      <c r="P41" s="565"/>
      <c r="Q41" s="565"/>
      <c r="R41" s="565"/>
      <c r="S41" s="565"/>
      <c r="T41" s="565"/>
      <c r="U41" s="565"/>
    </row>
    <row r="42" spans="3:21" hidden="1" x14ac:dyDescent="0.25">
      <c r="C42" s="582" t="s">
        <v>48</v>
      </c>
      <c r="D42" s="583">
        <v>2.81</v>
      </c>
      <c r="E42" s="584">
        <f>[1]Datos!K$23*'CUADRO 7 FFM'!D42%</f>
        <v>12152506.5864</v>
      </c>
      <c r="F42" s="580">
        <f t="shared" si="18"/>
        <v>8506754.6104799993</v>
      </c>
      <c r="G42" s="580">
        <f t="shared" si="16"/>
        <v>50027806.312974691</v>
      </c>
      <c r="H42" s="580">
        <f t="shared" si="17"/>
        <v>62180312.899374694</v>
      </c>
      <c r="I42" s="580">
        <f t="shared" si="19"/>
        <v>58534560.923454687</v>
      </c>
      <c r="J42" s="581">
        <f t="shared" si="20"/>
        <v>3645751.9759200066</v>
      </c>
      <c r="K42" s="570"/>
      <c r="L42" s="570"/>
      <c r="M42" s="580"/>
      <c r="N42" s="565"/>
      <c r="O42" s="570"/>
      <c r="P42" s="565"/>
      <c r="Q42" s="565"/>
      <c r="R42" s="565"/>
      <c r="S42" s="565"/>
      <c r="T42" s="565"/>
      <c r="U42" s="565"/>
    </row>
    <row r="43" spans="3:21" hidden="1" x14ac:dyDescent="0.25">
      <c r="C43" s="582" t="s">
        <v>49</v>
      </c>
      <c r="D43" s="583">
        <v>4.6399999999999997</v>
      </c>
      <c r="E43" s="584">
        <f>[1]Datos!K$23*'CUADRO 7 FFM'!D43%</f>
        <v>20066772.441599999</v>
      </c>
      <c r="F43" s="580">
        <f t="shared" si="18"/>
        <v>14046740.709119998</v>
      </c>
      <c r="G43" s="580">
        <f t="shared" si="16"/>
        <v>12093109.778085131</v>
      </c>
      <c r="H43" s="580">
        <f t="shared" si="17"/>
        <v>32159882.21968513</v>
      </c>
      <c r="I43" s="580">
        <f t="shared" si="19"/>
        <v>26139850.487205129</v>
      </c>
      <c r="J43" s="581">
        <f t="shared" si="20"/>
        <v>6020031.7324800007</v>
      </c>
      <c r="K43" s="570"/>
      <c r="L43" s="570"/>
      <c r="M43" s="580"/>
      <c r="N43" s="565"/>
      <c r="O43" s="570"/>
      <c r="P43" s="565"/>
      <c r="Q43" s="565"/>
      <c r="R43" s="565"/>
      <c r="S43" s="565"/>
      <c r="T43" s="565"/>
      <c r="U43" s="565"/>
    </row>
    <row r="44" spans="3:21" hidden="1" x14ac:dyDescent="0.25">
      <c r="C44" s="582" t="s">
        <v>50</v>
      </c>
      <c r="D44" s="583">
        <v>1.5</v>
      </c>
      <c r="E44" s="584">
        <f>[1]Datos!K$23*'CUADRO 7 FFM'!D44%</f>
        <v>6487103.1600000001</v>
      </c>
      <c r="F44" s="580">
        <f t="shared" si="18"/>
        <v>4540972.2119999994</v>
      </c>
      <c r="G44" s="580">
        <f t="shared" si="16"/>
        <v>3305282.7029304248</v>
      </c>
      <c r="H44" s="580">
        <f t="shared" si="17"/>
        <v>9792385.8629304245</v>
      </c>
      <c r="I44" s="580">
        <f t="shared" si="19"/>
        <v>7846254.9149304237</v>
      </c>
      <c r="J44" s="581">
        <f t="shared" si="20"/>
        <v>1946130.9480000008</v>
      </c>
      <c r="K44" s="570"/>
      <c r="L44" s="570"/>
      <c r="M44" s="580"/>
      <c r="N44" s="565"/>
      <c r="O44" s="570"/>
      <c r="P44" s="565"/>
      <c r="Q44" s="565"/>
      <c r="R44" s="565"/>
      <c r="S44" s="565"/>
      <c r="T44" s="565"/>
      <c r="U44" s="565"/>
    </row>
    <row r="45" spans="3:21" hidden="1" x14ac:dyDescent="0.25">
      <c r="C45" s="582" t="s">
        <v>51</v>
      </c>
      <c r="D45" s="583">
        <v>1.53</v>
      </c>
      <c r="E45" s="584">
        <f>[1]Datos!K$23*'CUADRO 7 FFM'!D45%</f>
        <v>6616845.2232000008</v>
      </c>
      <c r="F45" s="580">
        <f t="shared" si="18"/>
        <v>4631791.6562400004</v>
      </c>
      <c r="G45" s="580">
        <f t="shared" si="16"/>
        <v>860181.91190673353</v>
      </c>
      <c r="H45" s="580">
        <f t="shared" si="17"/>
        <v>7477027.135106734</v>
      </c>
      <c r="I45" s="580">
        <f t="shared" si="19"/>
        <v>5491973.5681467336</v>
      </c>
      <c r="J45" s="581">
        <f t="shared" si="20"/>
        <v>1985053.5669600004</v>
      </c>
      <c r="K45" s="570"/>
      <c r="L45" s="570"/>
      <c r="M45" s="565"/>
      <c r="N45" s="565"/>
      <c r="O45" s="570"/>
      <c r="P45" s="565"/>
      <c r="Q45" s="565"/>
      <c r="R45" s="565"/>
      <c r="S45" s="565"/>
      <c r="T45" s="565"/>
      <c r="U45" s="565"/>
    </row>
    <row r="46" spans="3:21" hidden="1" x14ac:dyDescent="0.25">
      <c r="C46" s="582" t="s">
        <v>52</v>
      </c>
      <c r="D46" s="583">
        <v>3.16</v>
      </c>
      <c r="E46" s="584">
        <f>[1]Datos!K$23*'CUADRO 7 FFM'!D46%</f>
        <v>13666163.990400001</v>
      </c>
      <c r="F46" s="580">
        <f t="shared" si="18"/>
        <v>9566314.7932799999</v>
      </c>
      <c r="G46" s="580">
        <f t="shared" si="16"/>
        <v>3321963.7695558467</v>
      </c>
      <c r="H46" s="580">
        <f t="shared" si="17"/>
        <v>16988127.759955849</v>
      </c>
      <c r="I46" s="580">
        <f t="shared" si="19"/>
        <v>12888278.562835846</v>
      </c>
      <c r="J46" s="581">
        <f t="shared" si="20"/>
        <v>4099849.1971200034</v>
      </c>
      <c r="K46" s="570"/>
      <c r="L46" s="570"/>
      <c r="M46" s="565"/>
      <c r="N46" s="565"/>
      <c r="O46" s="570"/>
      <c r="P46" s="565"/>
      <c r="Q46" s="565"/>
      <c r="R46" s="565"/>
      <c r="S46" s="565"/>
      <c r="T46" s="565"/>
      <c r="U46" s="565"/>
    </row>
    <row r="47" spans="3:21" hidden="1" x14ac:dyDescent="0.25">
      <c r="C47" s="582" t="s">
        <v>53</v>
      </c>
      <c r="D47" s="583">
        <v>2.81</v>
      </c>
      <c r="E47" s="584">
        <f>[1]Datos!K$23*'CUADRO 7 FFM'!D47%</f>
        <v>12152506.5864</v>
      </c>
      <c r="F47" s="580">
        <f t="shared" si="18"/>
        <v>8506754.6104799993</v>
      </c>
      <c r="G47" s="580">
        <f t="shared" si="16"/>
        <v>1769556.0460885782</v>
      </c>
      <c r="H47" s="580">
        <f t="shared" si="17"/>
        <v>13922062.632488579</v>
      </c>
      <c r="I47" s="580">
        <f t="shared" si="19"/>
        <v>10276310.656568578</v>
      </c>
      <c r="J47" s="581">
        <f t="shared" si="20"/>
        <v>3645751.975920001</v>
      </c>
      <c r="K47" s="570"/>
      <c r="L47" s="570"/>
      <c r="M47" s="565"/>
      <c r="N47" s="565"/>
      <c r="O47" s="570"/>
      <c r="P47" s="565"/>
      <c r="Q47" s="565"/>
      <c r="R47" s="565"/>
      <c r="S47" s="565"/>
      <c r="T47" s="565"/>
      <c r="U47" s="565"/>
    </row>
    <row r="48" spans="3:21" hidden="1" x14ac:dyDescent="0.25">
      <c r="C48" s="582" t="s">
        <v>54</v>
      </c>
      <c r="D48" s="583">
        <v>1.6</v>
      </c>
      <c r="E48" s="584">
        <f>[1]Datos!K$23*'CUADRO 7 FFM'!D48%</f>
        <v>6919576.7039999999</v>
      </c>
      <c r="F48" s="580">
        <f t="shared" si="18"/>
        <v>4843703.6927999994</v>
      </c>
      <c r="G48" s="580">
        <f t="shared" si="16"/>
        <v>1066761.6517448882</v>
      </c>
      <c r="H48" s="580">
        <f t="shared" si="17"/>
        <v>7986338.3557448881</v>
      </c>
      <c r="I48" s="580">
        <f t="shared" si="19"/>
        <v>5910465.3445448875</v>
      </c>
      <c r="J48" s="581">
        <f t="shared" si="20"/>
        <v>2075873.0112000005</v>
      </c>
      <c r="K48" s="570"/>
      <c r="L48" s="570"/>
      <c r="M48" s="565"/>
      <c r="N48" s="565"/>
      <c r="O48" s="570"/>
      <c r="P48" s="565"/>
      <c r="Q48" s="565"/>
      <c r="R48" s="565"/>
      <c r="S48" s="565"/>
      <c r="T48" s="565"/>
      <c r="U48" s="565"/>
    </row>
    <row r="49" spans="2:21" hidden="1" x14ac:dyDescent="0.25">
      <c r="C49" s="582" t="s">
        <v>55</v>
      </c>
      <c r="D49" s="583">
        <v>2.84</v>
      </c>
      <c r="E49" s="584">
        <f>[1]Datos!K$23*'CUADRO 7 FFM'!D49%</f>
        <v>12282248.649599999</v>
      </c>
      <c r="F49" s="580">
        <f t="shared" si="18"/>
        <v>8597574.0547199994</v>
      </c>
      <c r="G49" s="580">
        <f t="shared" si="16"/>
        <v>2646833.459178092</v>
      </c>
      <c r="H49" s="580">
        <f t="shared" si="17"/>
        <v>14929082.108778091</v>
      </c>
      <c r="I49" s="580">
        <f t="shared" si="19"/>
        <v>11244407.513898091</v>
      </c>
      <c r="J49" s="581">
        <f t="shared" si="20"/>
        <v>3684674.5948799998</v>
      </c>
      <c r="K49" s="570"/>
      <c r="L49" s="570"/>
      <c r="M49" s="565"/>
      <c r="N49" s="565"/>
      <c r="O49" s="570"/>
      <c r="P49" s="565"/>
      <c r="Q49" s="565"/>
      <c r="R49" s="565"/>
      <c r="S49" s="565"/>
      <c r="T49" s="565"/>
      <c r="U49" s="565"/>
    </row>
    <row r="50" spans="2:21" hidden="1" x14ac:dyDescent="0.25">
      <c r="C50" s="582" t="s">
        <v>56</v>
      </c>
      <c r="D50" s="583">
        <v>3.33</v>
      </c>
      <c r="E50" s="584">
        <f>[1]Datos!K$23*'CUADRO 7 FFM'!D50%</f>
        <v>14401369.015200002</v>
      </c>
      <c r="F50" s="580">
        <f t="shared" si="18"/>
        <v>10080958.310640002</v>
      </c>
      <c r="G50" s="580">
        <f t="shared" si="16"/>
        <v>1941034.8409835482</v>
      </c>
      <c r="H50" s="580">
        <f t="shared" si="17"/>
        <v>16342403.856183551</v>
      </c>
      <c r="I50" s="580">
        <f t="shared" si="19"/>
        <v>12021993.151623551</v>
      </c>
      <c r="J50" s="581">
        <f t="shared" si="20"/>
        <v>4320410.7045600004</v>
      </c>
      <c r="K50" s="570"/>
      <c r="L50" s="570"/>
      <c r="M50" s="565"/>
      <c r="N50" s="565"/>
      <c r="O50" s="570"/>
      <c r="P50" s="565"/>
      <c r="Q50" s="565"/>
      <c r="R50" s="565"/>
      <c r="S50" s="565"/>
      <c r="T50" s="565"/>
      <c r="U50" s="565"/>
    </row>
    <row r="51" spans="2:21" hidden="1" x14ac:dyDescent="0.25">
      <c r="C51" s="582" t="s">
        <v>57</v>
      </c>
      <c r="D51" s="583">
        <v>4.6900000000000004</v>
      </c>
      <c r="E51" s="584">
        <f>[1]Datos!K$23*'CUADRO 7 FFM'!D51%</f>
        <v>20283009.213600002</v>
      </c>
      <c r="F51" s="580">
        <f t="shared" si="18"/>
        <v>14198106.449520001</v>
      </c>
      <c r="G51" s="580">
        <f t="shared" si="16"/>
        <v>3643389.6561024878</v>
      </c>
      <c r="H51" s="580">
        <f t="shared" si="17"/>
        <v>23926398.869702488</v>
      </c>
      <c r="I51" s="580">
        <f t="shared" si="19"/>
        <v>17841496.105622489</v>
      </c>
      <c r="J51" s="581">
        <f t="shared" si="20"/>
        <v>6084902.7640799992</v>
      </c>
      <c r="K51" s="570"/>
      <c r="L51" s="570"/>
      <c r="M51" s="565"/>
      <c r="N51" s="565"/>
      <c r="O51" s="570"/>
      <c r="P51" s="565"/>
      <c r="Q51" s="565"/>
      <c r="R51" s="565"/>
      <c r="S51" s="565"/>
      <c r="T51" s="565"/>
      <c r="U51" s="565"/>
    </row>
    <row r="52" spans="2:21" hidden="1" x14ac:dyDescent="0.25">
      <c r="C52" s="582" t="s">
        <v>58</v>
      </c>
      <c r="D52" s="583">
        <v>2.13</v>
      </c>
      <c r="E52" s="584">
        <f>[1]Datos!K$23*'CUADRO 7 FFM'!D52%</f>
        <v>9211686.4871999994</v>
      </c>
      <c r="F52" s="580">
        <f t="shared" si="18"/>
        <v>6448180.5410399996</v>
      </c>
      <c r="G52" s="580">
        <f t="shared" si="16"/>
        <v>741513.71137805167</v>
      </c>
      <c r="H52" s="580">
        <f t="shared" si="17"/>
        <v>9953200.1985780504</v>
      </c>
      <c r="I52" s="580">
        <f t="shared" si="19"/>
        <v>7189694.2524180515</v>
      </c>
      <c r="J52" s="581">
        <f t="shared" si="20"/>
        <v>2763505.9461599989</v>
      </c>
      <c r="K52" s="570"/>
      <c r="L52" s="570"/>
      <c r="M52" s="565"/>
      <c r="N52" s="565"/>
      <c r="O52" s="570"/>
      <c r="P52" s="565"/>
      <c r="Q52" s="565"/>
      <c r="R52" s="565"/>
      <c r="S52" s="565"/>
      <c r="T52" s="565"/>
      <c r="U52" s="565"/>
    </row>
    <row r="53" spans="2:21" hidden="1" x14ac:dyDescent="0.25">
      <c r="C53" s="582" t="s">
        <v>59</v>
      </c>
      <c r="D53" s="583">
        <v>2.81</v>
      </c>
      <c r="E53" s="584">
        <f>[1]Datos!K$23*'CUADRO 7 FFM'!D53%</f>
        <v>12152506.5864</v>
      </c>
      <c r="F53" s="580">
        <f t="shared" si="18"/>
        <v>8506754.6104799993</v>
      </c>
      <c r="G53" s="580">
        <f t="shared" si="16"/>
        <v>2127887.4707878083</v>
      </c>
      <c r="H53" s="580">
        <f t="shared" si="17"/>
        <v>14280394.057187809</v>
      </c>
      <c r="I53" s="580">
        <f t="shared" si="19"/>
        <v>10634642.081267808</v>
      </c>
      <c r="J53" s="581">
        <f t="shared" si="20"/>
        <v>3645751.975920001</v>
      </c>
      <c r="K53" s="570"/>
      <c r="L53" s="570"/>
      <c r="M53" s="565"/>
      <c r="N53" s="565"/>
      <c r="O53" s="570"/>
      <c r="P53" s="565"/>
      <c r="Q53" s="565"/>
      <c r="R53" s="565"/>
      <c r="S53" s="565"/>
      <c r="T53" s="565"/>
      <c r="U53" s="565"/>
    </row>
    <row r="54" spans="2:21" hidden="1" x14ac:dyDescent="0.25">
      <c r="C54" s="582" t="s">
        <v>60</v>
      </c>
      <c r="D54" s="583">
        <v>8.34</v>
      </c>
      <c r="E54" s="584">
        <f>[1]Datos!K$23*'CUADRO 7 FFM'!D54%</f>
        <v>36068293.569600001</v>
      </c>
      <c r="F54" s="580">
        <f t="shared" si="18"/>
        <v>25247805.498719998</v>
      </c>
      <c r="G54" s="580">
        <f t="shared" si="16"/>
        <v>8807309.5683535542</v>
      </c>
      <c r="H54" s="580">
        <f t="shared" si="17"/>
        <v>44875603.137953557</v>
      </c>
      <c r="I54" s="580">
        <f t="shared" si="19"/>
        <v>34055115.067073554</v>
      </c>
      <c r="J54" s="581">
        <f t="shared" si="20"/>
        <v>10820488.070880003</v>
      </c>
      <c r="K54" s="570"/>
      <c r="L54" s="570"/>
      <c r="M54" s="565"/>
      <c r="N54" s="565"/>
      <c r="O54" s="570"/>
      <c r="P54" s="565"/>
      <c r="Q54" s="565"/>
      <c r="R54" s="565"/>
      <c r="S54" s="565"/>
      <c r="T54" s="565"/>
      <c r="U54" s="565"/>
    </row>
    <row r="55" spans="2:21" hidden="1" x14ac:dyDescent="0.25">
      <c r="C55" s="582" t="s">
        <v>61</v>
      </c>
      <c r="D55" s="583">
        <v>3.5</v>
      </c>
      <c r="E55" s="584">
        <f>[1]Datos!K$23*'CUADRO 7 FFM'!D55%</f>
        <v>15136574.040000001</v>
      </c>
      <c r="F55" s="580">
        <f t="shared" si="18"/>
        <v>10595601.828</v>
      </c>
      <c r="G55" s="580">
        <f t="shared" si="16"/>
        <v>3149464.7375596901</v>
      </c>
      <c r="H55" s="580">
        <f t="shared" si="17"/>
        <v>18286038.77755969</v>
      </c>
      <c r="I55" s="580">
        <f t="shared" si="19"/>
        <v>13745066.565559689</v>
      </c>
      <c r="J55" s="581">
        <f t="shared" si="20"/>
        <v>4540972.2120000012</v>
      </c>
      <c r="K55" s="570"/>
      <c r="L55" s="570"/>
      <c r="M55" s="565"/>
      <c r="N55" s="565"/>
      <c r="O55" s="570"/>
      <c r="P55" s="565"/>
      <c r="Q55" s="565"/>
      <c r="R55" s="565"/>
      <c r="S55" s="565"/>
      <c r="T55" s="565"/>
      <c r="U55" s="565"/>
    </row>
    <row r="56" spans="2:21" hidden="1" x14ac:dyDescent="0.25">
      <c r="C56" s="582" t="s">
        <v>62</v>
      </c>
      <c r="D56" s="583">
        <v>39</v>
      </c>
      <c r="E56" s="584">
        <f>[1]Datos!K$23*'CUADRO 7 FFM'!D56%</f>
        <v>168664682.16</v>
      </c>
      <c r="F56" s="580">
        <f t="shared" si="18"/>
        <v>118065277.51199999</v>
      </c>
      <c r="G56" s="580">
        <f t="shared" si="16"/>
        <v>57604969.006590404</v>
      </c>
      <c r="H56" s="580">
        <f t="shared" si="17"/>
        <v>226269651.16659039</v>
      </c>
      <c r="I56" s="580">
        <f t="shared" si="19"/>
        <v>175670246.51859039</v>
      </c>
      <c r="J56" s="581">
        <f t="shared" si="20"/>
        <v>50599404.648000002</v>
      </c>
      <c r="K56" s="570"/>
      <c r="L56" s="570"/>
      <c r="M56" s="565"/>
      <c r="N56" s="565"/>
      <c r="O56" s="570"/>
      <c r="P56" s="565"/>
      <c r="Q56" s="565"/>
      <c r="R56" s="565"/>
      <c r="S56" s="565"/>
      <c r="T56" s="565"/>
      <c r="U56" s="565"/>
    </row>
    <row r="57" spans="2:21" hidden="1" x14ac:dyDescent="0.25">
      <c r="C57" s="582" t="s">
        <v>63</v>
      </c>
      <c r="D57" s="583">
        <v>3.79</v>
      </c>
      <c r="E57" s="584">
        <f>[1]Datos!K$23*'CUADRO 7 FFM'!D57%</f>
        <v>16390747.317600001</v>
      </c>
      <c r="F57" s="580">
        <f t="shared" si="18"/>
        <v>11473523.12232</v>
      </c>
      <c r="G57" s="580">
        <f t="shared" si="16"/>
        <v>2514285.3049853239</v>
      </c>
      <c r="H57" s="580">
        <f t="shared" si="17"/>
        <v>18905032.622585326</v>
      </c>
      <c r="I57" s="580">
        <f t="shared" si="19"/>
        <v>13987808.427305324</v>
      </c>
      <c r="J57" s="581">
        <f t="shared" si="20"/>
        <v>4917224.1952800024</v>
      </c>
      <c r="K57" s="570"/>
      <c r="L57" s="570"/>
      <c r="M57" s="565"/>
      <c r="N57" s="565"/>
      <c r="O57" s="570"/>
      <c r="P57" s="565"/>
      <c r="Q57" s="565"/>
      <c r="R57" s="565"/>
      <c r="S57" s="565"/>
      <c r="T57" s="565"/>
      <c r="U57" s="565"/>
    </row>
    <row r="58" spans="2:21" hidden="1" x14ac:dyDescent="0.25">
      <c r="C58" s="582" t="s">
        <v>64</v>
      </c>
      <c r="D58" s="583">
        <v>3.1</v>
      </c>
      <c r="E58" s="584">
        <f>[1]Datos!K$23*'CUADRO 7 FFM'!D58%</f>
        <v>13406679.864</v>
      </c>
      <c r="F58" s="580">
        <f t="shared" si="18"/>
        <v>9384675.9047999997</v>
      </c>
      <c r="G58" s="580">
        <f t="shared" si="16"/>
        <v>9131890.8583775852</v>
      </c>
      <c r="H58" s="580">
        <f t="shared" si="17"/>
        <v>22538570.722377583</v>
      </c>
      <c r="I58" s="580">
        <f t="shared" si="19"/>
        <v>18516566.763177585</v>
      </c>
      <c r="J58" s="581">
        <f t="shared" si="20"/>
        <v>4022003.9591999985</v>
      </c>
      <c r="K58" s="570"/>
      <c r="L58" s="570"/>
      <c r="M58" s="565"/>
      <c r="N58" s="565"/>
      <c r="O58" s="570"/>
      <c r="P58" s="565"/>
      <c r="Q58" s="565"/>
      <c r="R58" s="565"/>
      <c r="S58" s="565"/>
      <c r="T58" s="565"/>
      <c r="U58" s="565"/>
    </row>
    <row r="59" spans="2:21" hidden="1" x14ac:dyDescent="0.25">
      <c r="C59" s="585" t="s">
        <v>65</v>
      </c>
      <c r="D59" s="586">
        <f>SUM(D39:D58)</f>
        <v>100</v>
      </c>
      <c r="E59" s="587">
        <f>SUM(E39:E58)</f>
        <v>432473544.00000006</v>
      </c>
      <c r="F59" s="587">
        <f t="shared" si="18"/>
        <v>302731480.80000001</v>
      </c>
      <c r="G59" s="587">
        <f t="shared" si="16"/>
        <v>171116704.5</v>
      </c>
      <c r="H59" s="587">
        <f t="shared" si="17"/>
        <v>603590248.5</v>
      </c>
      <c r="I59" s="587">
        <f>SUM(I39:I58)</f>
        <v>473848185.30000001</v>
      </c>
      <c r="J59" s="588">
        <v>0</v>
      </c>
      <c r="K59" s="570"/>
      <c r="L59" s="570"/>
      <c r="M59" s="565"/>
      <c r="N59" s="565"/>
      <c r="O59" s="570"/>
      <c r="P59" s="565"/>
      <c r="Q59" s="565"/>
      <c r="R59" s="565"/>
      <c r="S59" s="565"/>
      <c r="T59" s="565"/>
      <c r="U59" s="565"/>
    </row>
    <row r="60" spans="2:21" x14ac:dyDescent="0.25">
      <c r="C60" s="1101" t="s">
        <v>316</v>
      </c>
      <c r="D60" s="1101"/>
      <c r="E60" s="1101"/>
      <c r="F60" s="1101"/>
      <c r="G60" s="1101"/>
      <c r="H60" s="1101"/>
      <c r="I60" s="1101"/>
      <c r="J60" s="1101"/>
      <c r="K60" s="1101"/>
      <c r="L60" s="1101"/>
      <c r="M60" s="1101"/>
      <c r="N60" s="1101"/>
      <c r="O60" s="1101"/>
      <c r="P60" s="1101"/>
      <c r="Q60" s="1101"/>
      <c r="R60" s="1101"/>
      <c r="S60" s="1101"/>
      <c r="T60" s="1101"/>
      <c r="U60" s="1101"/>
    </row>
    <row r="61" spans="2:21" ht="15" customHeight="1" x14ac:dyDescent="0.25">
      <c r="C61" s="1102"/>
      <c r="D61" s="1102"/>
      <c r="E61" s="1102"/>
      <c r="F61" s="1102"/>
      <c r="G61" s="1102"/>
      <c r="H61" s="1102"/>
      <c r="I61" s="1102"/>
      <c r="J61" s="1102"/>
      <c r="K61" s="1102"/>
      <c r="L61" s="1102"/>
      <c r="M61" s="1102"/>
      <c r="N61" s="1102"/>
      <c r="O61" s="1102"/>
      <c r="P61" s="1102"/>
      <c r="Q61" s="1102"/>
      <c r="R61" s="1102"/>
      <c r="S61" s="1102"/>
      <c r="T61" s="1102"/>
      <c r="U61" s="1102"/>
    </row>
    <row r="62" spans="2:21" x14ac:dyDescent="0.25">
      <c r="B62" s="424"/>
      <c r="C62" s="426"/>
      <c r="D62" s="427"/>
      <c r="E62" s="426"/>
      <c r="F62" s="426"/>
      <c r="G62" s="426"/>
      <c r="H62" s="428"/>
      <c r="I62" s="426"/>
      <c r="J62" s="426"/>
      <c r="K62" s="428"/>
      <c r="L62" s="428"/>
      <c r="M62" s="426"/>
      <c r="N62" s="426"/>
      <c r="O62" s="428"/>
      <c r="P62" s="426"/>
      <c r="Q62" s="426"/>
    </row>
    <row r="63" spans="2:21" x14ac:dyDescent="0.25">
      <c r="B63" s="424"/>
      <c r="C63" s="426"/>
      <c r="D63" s="427"/>
      <c r="E63" s="426"/>
      <c r="F63" s="426"/>
      <c r="G63" s="426"/>
      <c r="H63" s="428"/>
      <c r="I63" s="426"/>
      <c r="J63" s="426"/>
      <c r="K63" s="428"/>
      <c r="L63" s="428"/>
      <c r="M63" s="426"/>
      <c r="N63" s="426"/>
      <c r="O63" s="428"/>
      <c r="P63" s="426"/>
      <c r="Q63" s="426"/>
    </row>
    <row r="64" spans="2:21" x14ac:dyDescent="0.25">
      <c r="B64" s="424"/>
      <c r="C64" s="423"/>
      <c r="D64" s="425"/>
      <c r="E64" s="423"/>
      <c r="F64" s="423"/>
      <c r="G64" s="423"/>
      <c r="H64" s="422"/>
      <c r="I64" s="423"/>
      <c r="J64" s="423"/>
      <c r="K64" s="422"/>
      <c r="L64" s="422"/>
      <c r="M64" s="423"/>
      <c r="N64" s="423"/>
      <c r="O64" s="422"/>
      <c r="P64" s="423"/>
      <c r="Q64" s="423"/>
    </row>
    <row r="65" spans="2:17" x14ac:dyDescent="0.25">
      <c r="B65" s="424"/>
      <c r="C65" s="423"/>
      <c r="D65" s="425"/>
      <c r="E65" s="423"/>
      <c r="F65" s="423"/>
      <c r="G65" s="423"/>
      <c r="H65" s="422"/>
      <c r="I65" s="423"/>
      <c r="J65" s="423"/>
      <c r="K65" s="422"/>
      <c r="L65" s="422"/>
      <c r="M65" s="423"/>
      <c r="N65" s="423"/>
      <c r="O65" s="422"/>
      <c r="P65" s="423"/>
      <c r="Q65" s="423"/>
    </row>
  </sheetData>
  <mergeCells count="26">
    <mergeCell ref="C60:U60"/>
    <mergeCell ref="C61:U61"/>
    <mergeCell ref="C35:C38"/>
    <mergeCell ref="C3:C7"/>
    <mergeCell ref="D3:E3"/>
    <mergeCell ref="F3:H3"/>
    <mergeCell ref="D4:D6"/>
    <mergeCell ref="E4:E6"/>
    <mergeCell ref="I3:L3"/>
    <mergeCell ref="B28:C28"/>
    <mergeCell ref="B29:Q29"/>
    <mergeCell ref="C31:Q31"/>
    <mergeCell ref="C32:U32"/>
    <mergeCell ref="C33:U33"/>
    <mergeCell ref="M3:O3"/>
    <mergeCell ref="G4:G5"/>
    <mergeCell ref="B1:Q1"/>
    <mergeCell ref="B3:B7"/>
    <mergeCell ref="Q3:Q6"/>
    <mergeCell ref="L4:L6"/>
    <mergeCell ref="F4:F6"/>
    <mergeCell ref="I4:J5"/>
    <mergeCell ref="M4:N5"/>
    <mergeCell ref="K4:K6"/>
    <mergeCell ref="H4:H6"/>
    <mergeCell ref="O4:O6"/>
  </mergeCells>
  <pageMargins left="0.70866141732283472" right="0.70866141732283472" top="0.74803149606299213" bottom="0.74803149606299213" header="0.31496062992125984" footer="0.31496062992125984"/>
  <pageSetup paperSize="5"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Q29"/>
  <sheetViews>
    <sheetView workbookViewId="0">
      <pane xSplit="2" ySplit="7" topLeftCell="C8" activePane="bottomRight" state="frozen"/>
      <selection sqref="A1:O1"/>
      <selection pane="topRight" sqref="A1:O1"/>
      <selection pane="bottomLeft" sqref="A1:O1"/>
      <selection pane="bottomRight"/>
    </sheetView>
  </sheetViews>
  <sheetFormatPr baseColWidth="10" defaultRowHeight="15" x14ac:dyDescent="0.25"/>
  <cols>
    <col min="1" max="1" width="3.5703125" customWidth="1"/>
    <col min="2" max="2" width="21.7109375" customWidth="1"/>
    <col min="3" max="3" width="13.5703125" customWidth="1"/>
    <col min="4" max="4" width="12.42578125" customWidth="1"/>
    <col min="5" max="5" width="13.140625" style="9" customWidth="1"/>
    <col min="6" max="6" width="13.5703125" style="117" customWidth="1"/>
    <col min="7" max="7" width="13.28515625" style="117" customWidth="1"/>
    <col min="8" max="8" width="18.42578125" customWidth="1"/>
    <col min="9" max="9" width="19" customWidth="1"/>
    <col min="10" max="10" width="12.85546875" customWidth="1"/>
    <col min="12" max="12" width="12.7109375" bestFit="1" customWidth="1"/>
    <col min="13" max="13" width="11.5703125" bestFit="1" customWidth="1"/>
    <col min="14" max="14" width="12.7109375" bestFit="1" customWidth="1"/>
  </cols>
  <sheetData>
    <row r="1" spans="2:14" ht="15" customHeight="1" x14ac:dyDescent="0.25">
      <c r="B1" s="1126" t="s">
        <v>449</v>
      </c>
      <c r="C1" s="1126"/>
      <c r="D1" s="1126"/>
      <c r="E1" s="1126"/>
      <c r="F1" s="1126"/>
      <c r="G1" s="1126"/>
    </row>
    <row r="2" spans="2:14" ht="15" customHeight="1" x14ac:dyDescent="0.25">
      <c r="B2" s="1126"/>
      <c r="C2" s="1126"/>
      <c r="D2" s="1126"/>
      <c r="E2" s="1126"/>
      <c r="F2" s="1126"/>
      <c r="G2" s="1126"/>
    </row>
    <row r="3" spans="2:14" ht="15.75" thickBot="1" x14ac:dyDescent="0.3">
      <c r="G3" s="725" t="s">
        <v>544</v>
      </c>
    </row>
    <row r="4" spans="2:14" ht="15" customHeight="1" x14ac:dyDescent="0.25">
      <c r="B4" s="1127" t="s">
        <v>216</v>
      </c>
      <c r="C4" s="1130" t="s">
        <v>223</v>
      </c>
      <c r="D4" s="1128" t="s">
        <v>188</v>
      </c>
      <c r="E4" s="1132" t="s">
        <v>450</v>
      </c>
      <c r="F4" s="1134" t="s">
        <v>382</v>
      </c>
      <c r="G4" s="1135" t="s">
        <v>82</v>
      </c>
    </row>
    <row r="5" spans="2:14" ht="15" customHeight="1" x14ac:dyDescent="0.25">
      <c r="B5" s="1113"/>
      <c r="C5" s="1131"/>
      <c r="D5" s="1129"/>
      <c r="E5" s="1133"/>
      <c r="F5" s="1093"/>
      <c r="G5" s="1136"/>
    </row>
    <row r="6" spans="2:14" ht="15" customHeight="1" x14ac:dyDescent="0.25">
      <c r="B6" s="1113"/>
      <c r="C6" s="1131"/>
      <c r="D6" s="1129"/>
      <c r="E6" s="1133"/>
      <c r="F6" s="1093"/>
      <c r="G6" s="1136"/>
    </row>
    <row r="7" spans="2:14" ht="15.75" thickBot="1" x14ac:dyDescent="0.3">
      <c r="B7" s="1113"/>
      <c r="C7" s="108" t="s">
        <v>70</v>
      </c>
      <c r="D7" s="290" t="s">
        <v>92</v>
      </c>
      <c r="E7" s="445" t="s">
        <v>71</v>
      </c>
      <c r="F7" s="433" t="s">
        <v>93</v>
      </c>
      <c r="G7" s="434" t="s">
        <v>275</v>
      </c>
    </row>
    <row r="8" spans="2:14" x14ac:dyDescent="0.25">
      <c r="B8" s="324" t="s">
        <v>45</v>
      </c>
      <c r="C8" s="325">
        <v>3.94</v>
      </c>
      <c r="D8" s="326">
        <f>$D$28*C8/100</f>
        <v>812034</v>
      </c>
      <c r="E8" s="327">
        <v>0.05</v>
      </c>
      <c r="F8" s="328">
        <f>$F$28*E8</f>
        <v>1634949.9337500003</v>
      </c>
      <c r="G8" s="399">
        <f t="shared" ref="G8:G27" si="0">D8+F8</f>
        <v>2446983.9337500003</v>
      </c>
      <c r="H8" s="119"/>
      <c r="I8" s="169"/>
      <c r="J8" s="99"/>
      <c r="L8" s="99"/>
      <c r="M8" s="99"/>
      <c r="N8" s="99"/>
    </row>
    <row r="9" spans="2:14" x14ac:dyDescent="0.25">
      <c r="B9" s="329" t="s">
        <v>46</v>
      </c>
      <c r="C9" s="330">
        <v>5.78</v>
      </c>
      <c r="D9" s="326">
        <f t="shared" ref="D9:D27" si="1">$D$28*C9/100</f>
        <v>1191258</v>
      </c>
      <c r="E9" s="331">
        <v>0.05</v>
      </c>
      <c r="F9" s="328">
        <f t="shared" ref="F9:F26" si="2">$F$28*E9</f>
        <v>1634949.9337500003</v>
      </c>
      <c r="G9" s="400">
        <f t="shared" si="0"/>
        <v>2826207.9337500003</v>
      </c>
      <c r="H9" s="119"/>
      <c r="I9" s="169"/>
      <c r="J9" s="99"/>
      <c r="L9" s="99"/>
      <c r="M9" s="99"/>
      <c r="N9" s="99"/>
    </row>
    <row r="10" spans="2:14" x14ac:dyDescent="0.25">
      <c r="B10" s="329" t="s">
        <v>47</v>
      </c>
      <c r="C10" s="330">
        <v>6.12</v>
      </c>
      <c r="D10" s="326">
        <f t="shared" si="1"/>
        <v>1261332</v>
      </c>
      <c r="E10" s="331">
        <v>0.05</v>
      </c>
      <c r="F10" s="328">
        <f t="shared" si="2"/>
        <v>1634949.9337500003</v>
      </c>
      <c r="G10" s="400">
        <f t="shared" si="0"/>
        <v>2896281.9337500003</v>
      </c>
      <c r="H10" s="119"/>
      <c r="I10" s="169"/>
      <c r="J10" s="99"/>
      <c r="L10" s="99"/>
      <c r="M10" s="99"/>
      <c r="N10" s="99"/>
    </row>
    <row r="11" spans="2:14" x14ac:dyDescent="0.25">
      <c r="B11" s="329" t="s">
        <v>48</v>
      </c>
      <c r="C11" s="330">
        <v>5.08</v>
      </c>
      <c r="D11" s="326">
        <f t="shared" si="1"/>
        <v>1046988</v>
      </c>
      <c r="E11" s="331">
        <v>0.05</v>
      </c>
      <c r="F11" s="328">
        <f t="shared" si="2"/>
        <v>1634949.9337500003</v>
      </c>
      <c r="G11" s="400">
        <f t="shared" si="0"/>
        <v>2681937.9337500003</v>
      </c>
      <c r="H11" s="119"/>
      <c r="I11" s="169"/>
      <c r="J11" s="99"/>
      <c r="L11" s="99"/>
      <c r="M11" s="99"/>
      <c r="N11" s="99"/>
    </row>
    <row r="12" spans="2:14" x14ac:dyDescent="0.25">
      <c r="B12" s="329" t="s">
        <v>49</v>
      </c>
      <c r="C12" s="330">
        <v>3.07</v>
      </c>
      <c r="D12" s="326">
        <f t="shared" si="1"/>
        <v>632727</v>
      </c>
      <c r="E12" s="331">
        <v>0.05</v>
      </c>
      <c r="F12" s="328">
        <f t="shared" si="2"/>
        <v>1634949.9337500003</v>
      </c>
      <c r="G12" s="400">
        <f t="shared" si="0"/>
        <v>2267676.9337500003</v>
      </c>
      <c r="H12" s="119"/>
      <c r="I12" s="169"/>
      <c r="J12" s="99"/>
      <c r="L12" s="99"/>
      <c r="M12" s="99"/>
      <c r="N12" s="99"/>
    </row>
    <row r="13" spans="2:14" x14ac:dyDescent="0.25">
      <c r="B13" s="329" t="s">
        <v>50</v>
      </c>
      <c r="C13" s="330">
        <v>9.51</v>
      </c>
      <c r="D13" s="326">
        <f t="shared" si="1"/>
        <v>1960011</v>
      </c>
      <c r="E13" s="331">
        <v>0.05</v>
      </c>
      <c r="F13" s="328">
        <f t="shared" si="2"/>
        <v>1634949.9337500003</v>
      </c>
      <c r="G13" s="400">
        <f t="shared" si="0"/>
        <v>3594960.9337500003</v>
      </c>
      <c r="H13" s="119"/>
      <c r="I13" s="169"/>
      <c r="J13" s="99"/>
      <c r="L13" s="99"/>
      <c r="M13" s="99"/>
      <c r="N13" s="99"/>
    </row>
    <row r="14" spans="2:14" x14ac:dyDescent="0.25">
      <c r="B14" s="329" t="s">
        <v>51</v>
      </c>
      <c r="C14" s="330">
        <v>9.33</v>
      </c>
      <c r="D14" s="326">
        <f t="shared" si="1"/>
        <v>1922913</v>
      </c>
      <c r="E14" s="331">
        <v>0.05</v>
      </c>
      <c r="F14" s="328">
        <f t="shared" si="2"/>
        <v>1634949.9337500003</v>
      </c>
      <c r="G14" s="400">
        <f t="shared" si="0"/>
        <v>3557862.9337500003</v>
      </c>
      <c r="H14" s="119"/>
      <c r="I14" s="169"/>
      <c r="J14" s="99"/>
      <c r="L14" s="99"/>
      <c r="M14" s="99"/>
      <c r="N14" s="99"/>
    </row>
    <row r="15" spans="2:14" x14ac:dyDescent="0.25">
      <c r="B15" s="329" t="s">
        <v>52</v>
      </c>
      <c r="C15" s="330">
        <v>4.5199999999999996</v>
      </c>
      <c r="D15" s="326">
        <f t="shared" si="1"/>
        <v>931571.99999999988</v>
      </c>
      <c r="E15" s="331">
        <v>0.05</v>
      </c>
      <c r="F15" s="328">
        <f t="shared" si="2"/>
        <v>1634949.9337500003</v>
      </c>
      <c r="G15" s="400">
        <f t="shared" si="0"/>
        <v>2566521.9337500003</v>
      </c>
      <c r="H15" s="119"/>
      <c r="I15" s="169"/>
      <c r="J15" s="99"/>
      <c r="L15" s="99"/>
      <c r="M15" s="99"/>
      <c r="N15" s="99"/>
    </row>
    <row r="16" spans="2:14" x14ac:dyDescent="0.25">
      <c r="B16" s="329" t="s">
        <v>53</v>
      </c>
      <c r="C16" s="330">
        <v>5.08</v>
      </c>
      <c r="D16" s="326">
        <f t="shared" si="1"/>
        <v>1046988</v>
      </c>
      <c r="E16" s="331">
        <v>0.05</v>
      </c>
      <c r="F16" s="328">
        <f t="shared" si="2"/>
        <v>1634949.9337500003</v>
      </c>
      <c r="G16" s="400">
        <f t="shared" si="0"/>
        <v>2681937.9337500003</v>
      </c>
      <c r="H16" s="119"/>
      <c r="I16" s="169"/>
      <c r="J16" s="99"/>
      <c r="L16" s="99"/>
      <c r="M16" s="99"/>
      <c r="N16" s="99"/>
    </row>
    <row r="17" spans="2:17" x14ac:dyDescent="0.25">
      <c r="B17" s="329" t="s">
        <v>54</v>
      </c>
      <c r="C17" s="330">
        <v>8.92</v>
      </c>
      <c r="D17" s="326">
        <f t="shared" si="1"/>
        <v>1838412</v>
      </c>
      <c r="E17" s="331">
        <v>0.05</v>
      </c>
      <c r="F17" s="328">
        <f t="shared" si="2"/>
        <v>1634949.9337500003</v>
      </c>
      <c r="G17" s="400">
        <f t="shared" si="0"/>
        <v>3473361.9337500003</v>
      </c>
      <c r="H17" s="119"/>
      <c r="I17" s="169"/>
      <c r="J17" s="99"/>
      <c r="L17" s="99"/>
      <c r="M17" s="99"/>
      <c r="N17" s="99"/>
    </row>
    <row r="18" spans="2:17" x14ac:dyDescent="0.25">
      <c r="B18" s="329" t="s">
        <v>55</v>
      </c>
      <c r="C18" s="330">
        <v>5.0199999999999996</v>
      </c>
      <c r="D18" s="326">
        <f t="shared" si="1"/>
        <v>1034621.9999999999</v>
      </c>
      <c r="E18" s="331">
        <v>0.05</v>
      </c>
      <c r="F18" s="328">
        <f t="shared" si="2"/>
        <v>1634949.9337500003</v>
      </c>
      <c r="G18" s="400">
        <f t="shared" si="0"/>
        <v>2669571.9337500003</v>
      </c>
      <c r="H18" s="119"/>
      <c r="I18" s="169"/>
      <c r="J18" s="99"/>
      <c r="L18" s="99"/>
      <c r="M18" s="99"/>
      <c r="N18" s="99"/>
    </row>
    <row r="19" spans="2:17" x14ac:dyDescent="0.25">
      <c r="B19" s="329" t="s">
        <v>56</v>
      </c>
      <c r="C19" s="330">
        <v>4.29</v>
      </c>
      <c r="D19" s="326">
        <f t="shared" si="1"/>
        <v>884169</v>
      </c>
      <c r="E19" s="331">
        <v>0.05</v>
      </c>
      <c r="F19" s="328">
        <f t="shared" si="2"/>
        <v>1634949.9337500003</v>
      </c>
      <c r="G19" s="400">
        <f t="shared" si="0"/>
        <v>2519118.9337500003</v>
      </c>
      <c r="H19" s="119"/>
      <c r="I19" s="169"/>
      <c r="J19" s="99"/>
      <c r="L19" s="99"/>
      <c r="M19" s="99"/>
      <c r="N19" s="99"/>
    </row>
    <row r="20" spans="2:17" x14ac:dyDescent="0.25">
      <c r="B20" s="329" t="s">
        <v>57</v>
      </c>
      <c r="C20" s="330">
        <v>3.04</v>
      </c>
      <c r="D20" s="326">
        <f t="shared" si="1"/>
        <v>626544</v>
      </c>
      <c r="E20" s="331">
        <v>0.05</v>
      </c>
      <c r="F20" s="328">
        <f t="shared" si="2"/>
        <v>1634949.9337500003</v>
      </c>
      <c r="G20" s="400">
        <f t="shared" si="0"/>
        <v>2261493.9337500003</v>
      </c>
      <c r="H20" s="119"/>
      <c r="I20" s="169"/>
      <c r="J20" s="99"/>
      <c r="L20" s="99"/>
      <c r="M20" s="99"/>
      <c r="N20" s="99"/>
    </row>
    <row r="21" spans="2:17" x14ac:dyDescent="0.25">
      <c r="B21" s="329" t="s">
        <v>58</v>
      </c>
      <c r="C21" s="330">
        <v>6.7</v>
      </c>
      <c r="D21" s="326">
        <f t="shared" si="1"/>
        <v>1380870</v>
      </c>
      <c r="E21" s="331">
        <v>0.05</v>
      </c>
      <c r="F21" s="328">
        <f t="shared" si="2"/>
        <v>1634949.9337500003</v>
      </c>
      <c r="G21" s="400">
        <f t="shared" si="0"/>
        <v>3015819.9337500003</v>
      </c>
      <c r="H21" s="119"/>
      <c r="I21" s="169"/>
      <c r="J21" s="99"/>
      <c r="L21" s="99"/>
      <c r="M21" s="99"/>
      <c r="N21" s="99"/>
    </row>
    <row r="22" spans="2:17" x14ac:dyDescent="0.25">
      <c r="B22" s="329" t="s">
        <v>59</v>
      </c>
      <c r="C22" s="330">
        <v>5.08</v>
      </c>
      <c r="D22" s="326">
        <f t="shared" si="1"/>
        <v>1046988</v>
      </c>
      <c r="E22" s="331">
        <v>0.05</v>
      </c>
      <c r="F22" s="328">
        <f t="shared" si="2"/>
        <v>1634949.9337500003</v>
      </c>
      <c r="G22" s="400">
        <f t="shared" si="0"/>
        <v>2681937.9337500003</v>
      </c>
      <c r="H22" s="119"/>
      <c r="I22" s="169"/>
      <c r="J22" s="99"/>
      <c r="L22" s="99"/>
      <c r="M22" s="99"/>
      <c r="N22" s="99"/>
    </row>
    <row r="23" spans="2:17" x14ac:dyDescent="0.25">
      <c r="B23" s="329" t="s">
        <v>60</v>
      </c>
      <c r="C23" s="330">
        <v>1.7</v>
      </c>
      <c r="D23" s="326">
        <f t="shared" si="1"/>
        <v>350370</v>
      </c>
      <c r="E23" s="331">
        <v>0.05</v>
      </c>
      <c r="F23" s="328">
        <f t="shared" si="2"/>
        <v>1634949.9337500003</v>
      </c>
      <c r="G23" s="400">
        <f t="shared" si="0"/>
        <v>1985319.9337500003</v>
      </c>
      <c r="H23" s="119"/>
      <c r="I23" s="169"/>
      <c r="J23" s="99"/>
      <c r="L23" s="99"/>
      <c r="M23" s="99"/>
      <c r="N23" s="99"/>
    </row>
    <row r="24" spans="2:17" x14ac:dyDescent="0.25">
      <c r="B24" s="329" t="s">
        <v>61</v>
      </c>
      <c r="C24" s="330">
        <v>4.08</v>
      </c>
      <c r="D24" s="326">
        <f t="shared" si="1"/>
        <v>840888</v>
      </c>
      <c r="E24" s="331">
        <v>0.05</v>
      </c>
      <c r="F24" s="328">
        <f t="shared" si="2"/>
        <v>1634949.9337500003</v>
      </c>
      <c r="G24" s="400">
        <f t="shared" si="0"/>
        <v>2475837.9337500003</v>
      </c>
      <c r="H24" s="119"/>
      <c r="I24" s="169"/>
      <c r="J24" s="99"/>
      <c r="L24" s="99"/>
      <c r="M24" s="99"/>
      <c r="N24" s="99"/>
    </row>
    <row r="25" spans="2:17" x14ac:dyDescent="0.25">
      <c r="B25" s="329" t="s">
        <v>62</v>
      </c>
      <c r="C25" s="330">
        <v>0.37</v>
      </c>
      <c r="D25" s="326">
        <f t="shared" si="1"/>
        <v>76257</v>
      </c>
      <c r="E25" s="331">
        <v>0.05</v>
      </c>
      <c r="F25" s="328">
        <f t="shared" si="2"/>
        <v>1634949.9337500003</v>
      </c>
      <c r="G25" s="400">
        <f t="shared" si="0"/>
        <v>1711206.9337500003</v>
      </c>
      <c r="H25" s="119"/>
      <c r="I25" s="169"/>
      <c r="J25" s="99"/>
      <c r="L25" s="99"/>
      <c r="M25" s="99"/>
      <c r="N25" s="99"/>
    </row>
    <row r="26" spans="2:17" x14ac:dyDescent="0.25">
      <c r="B26" s="329" t="s">
        <v>63</v>
      </c>
      <c r="C26" s="330">
        <v>3.77</v>
      </c>
      <c r="D26" s="326">
        <f t="shared" si="1"/>
        <v>776997</v>
      </c>
      <c r="E26" s="331">
        <v>0.05</v>
      </c>
      <c r="F26" s="328">
        <f t="shared" si="2"/>
        <v>1634949.9337500003</v>
      </c>
      <c r="G26" s="400">
        <f t="shared" si="0"/>
        <v>2411946.9337500003</v>
      </c>
      <c r="H26" s="119"/>
      <c r="I26" s="169"/>
      <c r="J26" s="99"/>
      <c r="L26" s="99"/>
      <c r="M26" s="99"/>
      <c r="N26" s="99"/>
    </row>
    <row r="27" spans="2:17" ht="15.75" thickBot="1" x14ac:dyDescent="0.3">
      <c r="B27" s="332" t="s">
        <v>64</v>
      </c>
      <c r="C27" s="333">
        <v>4.5999999999999996</v>
      </c>
      <c r="D27" s="334">
        <f t="shared" si="1"/>
        <v>948060</v>
      </c>
      <c r="E27" s="335">
        <v>0.05</v>
      </c>
      <c r="F27" s="328">
        <f>$F$28*E27</f>
        <v>1634949.9337500003</v>
      </c>
      <c r="G27" s="400">
        <f t="shared" si="0"/>
        <v>2583009.9337500003</v>
      </c>
      <c r="H27" s="119"/>
      <c r="I27" s="169"/>
      <c r="J27" s="99"/>
      <c r="L27" s="99"/>
      <c r="M27" s="99"/>
      <c r="N27" s="99"/>
    </row>
    <row r="28" spans="2:17" ht="15.75" thickBot="1" x14ac:dyDescent="0.3">
      <c r="B28" s="264" t="s">
        <v>65</v>
      </c>
      <c r="C28" s="336">
        <f t="shared" ref="C28" si="3">SUM(C8:C27)</f>
        <v>100</v>
      </c>
      <c r="D28" s="266">
        <f>Datos!K50</f>
        <v>20610000</v>
      </c>
      <c r="E28" s="283">
        <v>100</v>
      </c>
      <c r="F28" s="337">
        <f>Datos!K51</f>
        <v>32698998.675000004</v>
      </c>
      <c r="G28" s="338">
        <f>SUM(G8:G27)</f>
        <v>53308998.675000034</v>
      </c>
      <c r="H28" s="431"/>
      <c r="I28" s="125"/>
      <c r="J28" s="497"/>
      <c r="K28" s="497"/>
      <c r="L28" s="497"/>
      <c r="M28" s="497"/>
      <c r="N28" s="497"/>
      <c r="O28" s="125"/>
      <c r="P28" s="125"/>
      <c r="Q28" s="125"/>
    </row>
    <row r="29" spans="2:17" x14ac:dyDescent="0.25">
      <c r="B29" s="1125" t="s">
        <v>271</v>
      </c>
      <c r="C29" s="1125"/>
      <c r="D29" s="1125"/>
      <c r="E29" s="1125"/>
      <c r="F29" s="1125"/>
      <c r="G29" s="1125"/>
      <c r="H29" s="430"/>
      <c r="I29" s="430"/>
      <c r="J29" s="498"/>
      <c r="K29" s="430"/>
      <c r="L29" s="430"/>
      <c r="M29" s="430"/>
      <c r="N29" s="430"/>
      <c r="O29" s="430"/>
      <c r="P29" s="430"/>
      <c r="Q29" s="430"/>
    </row>
  </sheetData>
  <mergeCells count="8">
    <mergeCell ref="B29:G29"/>
    <mergeCell ref="B1:G2"/>
    <mergeCell ref="B4:B7"/>
    <mergeCell ref="D4:D6"/>
    <mergeCell ref="C4:C6"/>
    <mergeCell ref="E4:E6"/>
    <mergeCell ref="F4:F6"/>
    <mergeCell ref="G4:G6"/>
  </mergeCells>
  <printOptions horizontalCentered="1"/>
  <pageMargins left="0.70866141732283472" right="0.70866141732283472" top="0.74803149606299213" bottom="0.74803149606299213" header="0.31496062992125984" footer="0.31496062992125984"/>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Q30"/>
  <sheetViews>
    <sheetView workbookViewId="0"/>
  </sheetViews>
  <sheetFormatPr baseColWidth="10" defaultColWidth="11.42578125" defaultRowHeight="14.25" x14ac:dyDescent="0.2"/>
  <cols>
    <col min="1" max="1" width="3.5703125" style="8" customWidth="1"/>
    <col min="2" max="2" width="20.42578125" style="8" customWidth="1"/>
    <col min="3" max="3" width="10.140625" style="8" bestFit="1" customWidth="1"/>
    <col min="4" max="4" width="14.42578125" style="8" customWidth="1"/>
    <col min="5" max="5" width="14.5703125" style="8" customWidth="1"/>
    <col min="6" max="16384" width="11.42578125" style="8"/>
  </cols>
  <sheetData>
    <row r="1" spans="2:5" ht="15" customHeight="1" x14ac:dyDescent="0.2">
      <c r="B1" s="1126" t="s">
        <v>451</v>
      </c>
      <c r="C1" s="1126"/>
      <c r="D1" s="1126"/>
      <c r="E1" s="1126"/>
    </row>
    <row r="2" spans="2:5" ht="15" customHeight="1" x14ac:dyDescent="0.2">
      <c r="B2" s="1126"/>
      <c r="C2" s="1126"/>
      <c r="D2" s="1126"/>
      <c r="E2" s="1126"/>
    </row>
    <row r="3" spans="2:5" ht="15.75" thickBot="1" x14ac:dyDescent="0.3">
      <c r="E3" s="963" t="s">
        <v>545</v>
      </c>
    </row>
    <row r="4" spans="2:5" ht="15" customHeight="1" x14ac:dyDescent="0.2">
      <c r="B4" s="1139" t="s">
        <v>216</v>
      </c>
      <c r="C4" s="1134" t="s">
        <v>21</v>
      </c>
      <c r="D4" s="1134"/>
      <c r="E4" s="1135" t="s">
        <v>82</v>
      </c>
    </row>
    <row r="5" spans="2:5" ht="15" customHeight="1" x14ac:dyDescent="0.2">
      <c r="B5" s="1140"/>
      <c r="C5" s="1094">
        <v>2020</v>
      </c>
      <c r="D5" s="1094"/>
      <c r="E5" s="1136"/>
    </row>
    <row r="6" spans="2:5" ht="15" customHeight="1" x14ac:dyDescent="0.25">
      <c r="B6" s="1140"/>
      <c r="C6" s="339" t="s">
        <v>38</v>
      </c>
      <c r="D6" s="339" t="s">
        <v>37</v>
      </c>
      <c r="E6" s="1136"/>
    </row>
    <row r="7" spans="2:5" ht="15" customHeight="1" thickBot="1" x14ac:dyDescent="0.3">
      <c r="B7" s="1141"/>
      <c r="C7" s="340" t="s">
        <v>70</v>
      </c>
      <c r="D7" s="341" t="s">
        <v>377</v>
      </c>
      <c r="E7" s="342" t="s">
        <v>376</v>
      </c>
    </row>
    <row r="8" spans="2:5" x14ac:dyDescent="0.2">
      <c r="B8" s="329" t="s">
        <v>45</v>
      </c>
      <c r="C8" s="343">
        <f>'CUADRO 1 - CENSO 2020'!C9</f>
        <v>37232</v>
      </c>
      <c r="D8" s="344">
        <f>C8/$C$28*100</f>
        <v>3.0136241193535018</v>
      </c>
      <c r="E8" s="846">
        <f>$E$28*D8/100</f>
        <v>2362545.8087452734</v>
      </c>
    </row>
    <row r="9" spans="2:5" x14ac:dyDescent="0.2">
      <c r="B9" s="329" t="s">
        <v>46</v>
      </c>
      <c r="C9" s="347">
        <f>'CUADRO 1 - CENSO 2020'!C10</f>
        <v>15393</v>
      </c>
      <c r="D9" s="348">
        <f t="shared" ref="D9:D27" si="0">C9/$C$28*100</f>
        <v>1.2459367229589724</v>
      </c>
      <c r="E9" s="346">
        <f t="shared" ref="E9:E27" si="1">$E$28*D9/100</f>
        <v>976758.37005844433</v>
      </c>
    </row>
    <row r="10" spans="2:5" x14ac:dyDescent="0.2">
      <c r="B10" s="329" t="s">
        <v>47</v>
      </c>
      <c r="C10" s="347">
        <f>'CUADRO 1 - CENSO 2020'!C11</f>
        <v>11536</v>
      </c>
      <c r="D10" s="348">
        <f t="shared" si="0"/>
        <v>0.93374430169912959</v>
      </c>
      <c r="E10" s="346">
        <f t="shared" si="1"/>
        <v>732013.54882051644</v>
      </c>
    </row>
    <row r="11" spans="2:5" x14ac:dyDescent="0.2">
      <c r="B11" s="329" t="s">
        <v>48</v>
      </c>
      <c r="C11" s="347">
        <f>'CUADRO 1 - CENSO 2020'!C12</f>
        <v>187632</v>
      </c>
      <c r="D11" s="348">
        <f t="shared" si="0"/>
        <v>15.187266887691669</v>
      </c>
      <c r="E11" s="346">
        <f t="shared" si="1"/>
        <v>11906134.378666015</v>
      </c>
    </row>
    <row r="12" spans="2:5" x14ac:dyDescent="0.2">
      <c r="B12" s="329" t="s">
        <v>49</v>
      </c>
      <c r="C12" s="347">
        <f>'CUADRO 1 - CENSO 2020'!C13</f>
        <v>77436</v>
      </c>
      <c r="D12" s="348">
        <f t="shared" si="0"/>
        <v>6.2678071902196431</v>
      </c>
      <c r="E12" s="346">
        <f t="shared" si="1"/>
        <v>4913679.0192844588</v>
      </c>
    </row>
    <row r="13" spans="2:5" x14ac:dyDescent="0.2">
      <c r="B13" s="329" t="s">
        <v>50</v>
      </c>
      <c r="C13" s="347">
        <f>'CUADRO 1 - CENSO 2020'!C14</f>
        <v>47550</v>
      </c>
      <c r="D13" s="348">
        <f t="shared" si="0"/>
        <v>3.8487813406547868</v>
      </c>
      <c r="E13" s="346">
        <f t="shared" si="1"/>
        <v>3017271.5192801286</v>
      </c>
    </row>
    <row r="14" spans="2:5" x14ac:dyDescent="0.2">
      <c r="B14" s="329" t="s">
        <v>51</v>
      </c>
      <c r="C14" s="347">
        <f>'CUADRO 1 - CENSO 2020'!C15</f>
        <v>12230</v>
      </c>
      <c r="D14" s="348">
        <f t="shared" si="0"/>
        <v>0.98991789266473262</v>
      </c>
      <c r="E14" s="346">
        <f t="shared" si="1"/>
        <v>776051.11841842206</v>
      </c>
    </row>
    <row r="15" spans="2:5" x14ac:dyDescent="0.2">
      <c r="B15" s="329" t="s">
        <v>52</v>
      </c>
      <c r="C15" s="347">
        <f>'CUADRO 1 - CENSO 2020'!C16</f>
        <v>29299</v>
      </c>
      <c r="D15" s="348">
        <f t="shared" si="0"/>
        <v>2.3715130283878989</v>
      </c>
      <c r="E15" s="346">
        <f t="shared" si="1"/>
        <v>1859159.5845086959</v>
      </c>
    </row>
    <row r="16" spans="2:5" x14ac:dyDescent="0.2">
      <c r="B16" s="329" t="s">
        <v>53</v>
      </c>
      <c r="C16" s="347">
        <f>'CUADRO 1 - CENSO 2020'!C17</f>
        <v>19321</v>
      </c>
      <c r="D16" s="348">
        <f t="shared" si="0"/>
        <v>1.563876010153336</v>
      </c>
      <c r="E16" s="346">
        <f t="shared" si="1"/>
        <v>1226008.47579414</v>
      </c>
    </row>
    <row r="17" spans="2:17" x14ac:dyDescent="0.2">
      <c r="B17" s="329" t="s">
        <v>54</v>
      </c>
      <c r="C17" s="347">
        <f>'CUADRO 1 - CENSO 2020'!C18</f>
        <v>13719</v>
      </c>
      <c r="D17" s="348">
        <f t="shared" si="0"/>
        <v>1.1104401937422297</v>
      </c>
      <c r="E17" s="346">
        <f t="shared" si="1"/>
        <v>870535.18344908697</v>
      </c>
    </row>
    <row r="18" spans="2:17" x14ac:dyDescent="0.2">
      <c r="B18" s="329" t="s">
        <v>55</v>
      </c>
      <c r="C18" s="347">
        <f>'CUADRO 1 - CENSO 2020'!C19</f>
        <v>33567</v>
      </c>
      <c r="D18" s="348">
        <f t="shared" si="0"/>
        <v>2.7169725186489848</v>
      </c>
      <c r="E18" s="346">
        <f t="shared" si="1"/>
        <v>2129984.2920646914</v>
      </c>
    </row>
    <row r="19" spans="2:17" x14ac:dyDescent="0.2">
      <c r="B19" s="329" t="s">
        <v>56</v>
      </c>
      <c r="C19" s="347">
        <f>'CUADRO 1 - CENSO 2020'!C20</f>
        <v>24096</v>
      </c>
      <c r="D19" s="348">
        <f t="shared" si="0"/>
        <v>1.9503729796933278</v>
      </c>
      <c r="E19" s="346">
        <f t="shared" si="1"/>
        <v>1529004.7219468763</v>
      </c>
    </row>
    <row r="20" spans="2:17" x14ac:dyDescent="0.2">
      <c r="B20" s="329" t="s">
        <v>57</v>
      </c>
      <c r="C20" s="347">
        <f>'CUADRO 1 - CENSO 2020'!C21</f>
        <v>41518</v>
      </c>
      <c r="D20" s="348">
        <f t="shared" si="0"/>
        <v>3.3605405615416495</v>
      </c>
      <c r="E20" s="346">
        <f t="shared" si="1"/>
        <v>2634512.7011035201</v>
      </c>
    </row>
    <row r="21" spans="2:17" x14ac:dyDescent="0.2">
      <c r="B21" s="329" t="s">
        <v>58</v>
      </c>
      <c r="C21" s="347">
        <f>'CUADRO 1 - CENSO 2020'!C22</f>
        <v>7683</v>
      </c>
      <c r="D21" s="348">
        <f t="shared" si="0"/>
        <v>0.62187564753418989</v>
      </c>
      <c r="E21" s="346">
        <f t="shared" si="1"/>
        <v>487522.54642753379</v>
      </c>
    </row>
    <row r="22" spans="2:17" x14ac:dyDescent="0.2">
      <c r="B22" s="329" t="s">
        <v>59</v>
      </c>
      <c r="C22" s="347">
        <f>'CUADRO 1 - CENSO 2020'!C23</f>
        <v>24911</v>
      </c>
      <c r="D22" s="348">
        <f t="shared" si="0"/>
        <v>2.0163405252797348</v>
      </c>
      <c r="E22" s="346">
        <f t="shared" si="1"/>
        <v>1580720.3116043592</v>
      </c>
    </row>
    <row r="23" spans="2:17" x14ac:dyDescent="0.2">
      <c r="B23" s="329" t="s">
        <v>60</v>
      </c>
      <c r="C23" s="347">
        <f>'CUADRO 1 - CENSO 2020'!C24</f>
        <v>93981</v>
      </c>
      <c r="D23" s="348">
        <f t="shared" si="0"/>
        <v>7.6069888365105687</v>
      </c>
      <c r="E23" s="346">
        <f t="shared" si="1"/>
        <v>5963537.2166869771</v>
      </c>
    </row>
    <row r="24" spans="2:17" x14ac:dyDescent="0.2">
      <c r="B24" s="329" t="s">
        <v>61</v>
      </c>
      <c r="C24" s="347">
        <f>'CUADRO 1 - CENSO 2020'!C25</f>
        <v>37135</v>
      </c>
      <c r="D24" s="348">
        <f t="shared" si="0"/>
        <v>3.0057727673021133</v>
      </c>
      <c r="E24" s="346">
        <f t="shared" si="1"/>
        <v>2356390.701755364</v>
      </c>
    </row>
    <row r="25" spans="2:17" x14ac:dyDescent="0.2">
      <c r="B25" s="329" t="s">
        <v>62</v>
      </c>
      <c r="C25" s="347">
        <f>'CUADRO 1 - CENSO 2020'!C26</f>
        <v>425924</v>
      </c>
      <c r="D25" s="348">
        <f t="shared" si="0"/>
        <v>34.475044032324909</v>
      </c>
      <c r="E25" s="346">
        <f t="shared" si="1"/>
        <v>27026884.428556666</v>
      </c>
    </row>
    <row r="26" spans="2:17" x14ac:dyDescent="0.2">
      <c r="B26" s="329" t="s">
        <v>63</v>
      </c>
      <c r="C26" s="347">
        <f>'CUADRO 1 - CENSO 2020'!C27</f>
        <v>30064</v>
      </c>
      <c r="D26" s="348">
        <f t="shared" si="0"/>
        <v>2.4334334852880231</v>
      </c>
      <c r="E26" s="346">
        <f t="shared" si="1"/>
        <v>1907702.4386043698</v>
      </c>
    </row>
    <row r="27" spans="2:17" ht="15" thickBot="1" x14ac:dyDescent="0.25">
      <c r="B27" s="329" t="s">
        <v>64</v>
      </c>
      <c r="C27" s="647">
        <f>'CUADRO 1 - CENSO 2020'!C28</f>
        <v>65229</v>
      </c>
      <c r="D27" s="349">
        <f t="shared" si="0"/>
        <v>5.2797509583506006</v>
      </c>
      <c r="E27" s="346">
        <f t="shared" si="1"/>
        <v>4139087.3592244685</v>
      </c>
    </row>
    <row r="28" spans="2:17" ht="15.75" thickBot="1" x14ac:dyDescent="0.3">
      <c r="B28" s="264" t="s">
        <v>65</v>
      </c>
      <c r="C28" s="350">
        <f>SUM(C8:C27)</f>
        <v>1235456</v>
      </c>
      <c r="D28" s="351">
        <f>SUM(D8:D27)</f>
        <v>100</v>
      </c>
      <c r="E28" s="352">
        <f>Datos!K56</f>
        <v>78395503.725000009</v>
      </c>
    </row>
    <row r="29" spans="2:17" ht="15" customHeight="1" x14ac:dyDescent="0.2">
      <c r="B29" s="1137" t="s">
        <v>271</v>
      </c>
      <c r="C29" s="1137"/>
      <c r="D29" s="1137"/>
      <c r="E29" s="1137"/>
    </row>
    <row r="30" spans="2:17" ht="35.25" customHeight="1" x14ac:dyDescent="0.2">
      <c r="B30" s="1138" t="s">
        <v>319</v>
      </c>
      <c r="C30" s="1070"/>
      <c r="D30" s="1070"/>
      <c r="E30" s="1070"/>
      <c r="F30" s="432"/>
      <c r="G30" s="432"/>
      <c r="H30" s="432"/>
      <c r="I30" s="432"/>
      <c r="J30" s="432"/>
      <c r="K30" s="432"/>
      <c r="L30" s="432"/>
      <c r="M30" s="432"/>
      <c r="N30" s="432"/>
      <c r="O30" s="432"/>
      <c r="P30" s="432"/>
      <c r="Q30" s="432"/>
    </row>
  </sheetData>
  <mergeCells count="7">
    <mergeCell ref="B1:E2"/>
    <mergeCell ref="E4:E6"/>
    <mergeCell ref="B29:E29"/>
    <mergeCell ref="B30:E30"/>
    <mergeCell ref="B4:B7"/>
    <mergeCell ref="C4:D4"/>
    <mergeCell ref="C5:D5"/>
  </mergeCells>
  <printOptions horizontalCentered="1"/>
  <pageMargins left="0.70866141732283472" right="0.39370078740157483" top="0.49"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23</vt:i4>
      </vt:variant>
    </vt:vector>
  </HeadingPairs>
  <TitlesOfParts>
    <vt:vector size="49" baseType="lpstr">
      <vt:lpstr>CUADRO 1 - CENSO 2020</vt:lpstr>
      <vt:lpstr>CUADRO 2 -Predial y Agua</vt:lpstr>
      <vt:lpstr>CUADRO 3 -IEPS 2014 </vt:lpstr>
      <vt:lpstr>CUADRO 4 - CALENDARIO 2026</vt:lpstr>
      <vt:lpstr>CUADRO 5- Consolidado</vt:lpstr>
      <vt:lpstr>CUADRO 6 -FGP</vt:lpstr>
      <vt:lpstr>CUADRO 7 FFM</vt:lpstr>
      <vt:lpstr>CUADRO 8- IEPS TyA</vt:lpstr>
      <vt:lpstr>CUADRO 9 IEPS GyD </vt:lpstr>
      <vt:lpstr>CUADRO10 -FOFIR</vt:lpstr>
      <vt:lpstr> CUADRO 11- FOCO</vt:lpstr>
      <vt:lpstr>CUADRO 12- FOCO ISAN</vt:lpstr>
      <vt:lpstr>CUADRO 13- Incentivo ISAN</vt:lpstr>
      <vt:lpstr>CUADRO 14 ISR Enaje</vt:lpstr>
      <vt:lpstr>CUADRO 15- F.G.P. 2026</vt:lpstr>
      <vt:lpstr>CUADRO 16- F.F.M.2026</vt:lpstr>
      <vt:lpstr>CUADRO 17 IEPS 2026</vt:lpstr>
      <vt:lpstr>CUADRO 18- IEPSGAS2026</vt:lpstr>
      <vt:lpstr>CUADRO 19- FOFIR2026</vt:lpstr>
      <vt:lpstr>CUADRO 20- FOCO 2026</vt:lpstr>
      <vt:lpstr>CUADRO 21- ISR 2026</vt:lpstr>
      <vt:lpstr>CUADRO 22- FOCO ISAN 2026 </vt:lpstr>
      <vt:lpstr>CUADRO 23- ISAN 2026</vt:lpstr>
      <vt:lpstr>CUADRO 24- ISR EJANE 2026</vt:lpstr>
      <vt:lpstr>IEPS2020 (2)</vt:lpstr>
      <vt:lpstr>ISAN Recaudacion (2)</vt:lpstr>
      <vt:lpstr>'CUADRO 1 - CENSO 2020'!Área_de_impresión</vt:lpstr>
      <vt:lpstr>'CUADRO 12- FOCO ISAN'!Área_de_impresión</vt:lpstr>
      <vt:lpstr>'CUADRO 13- Incentivo ISAN'!Área_de_impresión</vt:lpstr>
      <vt:lpstr>'CUADRO 14 ISR Enaje'!Área_de_impresión</vt:lpstr>
      <vt:lpstr>'CUADRO 15- F.G.P. 2026'!Área_de_impresión</vt:lpstr>
      <vt:lpstr>'CUADRO 16- F.F.M.2026'!Área_de_impresión</vt:lpstr>
      <vt:lpstr>'CUADRO 17 IEPS 2026'!Área_de_impresión</vt:lpstr>
      <vt:lpstr>'CUADRO 18- IEPSGAS2026'!Área_de_impresión</vt:lpstr>
      <vt:lpstr>'CUADRO 19- FOFIR2026'!Área_de_impresión</vt:lpstr>
      <vt:lpstr>'CUADRO 2 -Predial y Agua'!Área_de_impresión</vt:lpstr>
      <vt:lpstr>'CUADRO 21- ISR 2026'!Área_de_impresión</vt:lpstr>
      <vt:lpstr>'CUADRO 22- FOCO ISAN 2026 '!Área_de_impresión</vt:lpstr>
      <vt:lpstr>'CUADRO 23- ISAN 2026'!Área_de_impresión</vt:lpstr>
      <vt:lpstr>'CUADRO 24- ISR EJANE 2026'!Área_de_impresión</vt:lpstr>
      <vt:lpstr>'CUADRO 3 -IEPS 2014 '!Área_de_impresión</vt:lpstr>
      <vt:lpstr>'CUADRO 4 - CALENDARIO 2026'!Área_de_impresión</vt:lpstr>
      <vt:lpstr>'CUADRO 8- IEPS TyA'!Área_de_impresión</vt:lpstr>
      <vt:lpstr>'CUADRO 9 IEPS GyD '!Área_de_impresión</vt:lpstr>
      <vt:lpstr>'CUADRO10 -FOFIR'!Área_de_impresión</vt:lpstr>
      <vt:lpstr>Datos!Área_de_impresión</vt:lpstr>
      <vt:lpstr>ISR!Área_de_impresión</vt:lpstr>
      <vt:lpstr>'X22.55 DOF'!Área_de_impresión</vt:lpstr>
      <vt:lpstr>'X22.55 POE'!Área_de_impresión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INGCOORD</dc:creator>
  <cp:lastModifiedBy>INGCOORD</cp:lastModifiedBy>
  <cp:lastPrinted>2026-02-09T18:58:58Z</cp:lastPrinted>
  <dcterms:created xsi:type="dcterms:W3CDTF">2018-01-30T21:48:08Z</dcterms:created>
  <dcterms:modified xsi:type="dcterms:W3CDTF">2026-02-11T16:48:30Z</dcterms:modified>
</cp:coreProperties>
</file>